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codeName="ThisWorkbook" defaultThemeVersion="124226"/>
  <mc:AlternateContent xmlns:mc="http://schemas.openxmlformats.org/markup-compatibility/2006">
    <mc:Choice Requires="x15">
      <x15ac:absPath xmlns:x15ac="http://schemas.microsoft.com/office/spreadsheetml/2010/11/ac" url="/Users/knagyova/Downloads/"/>
    </mc:Choice>
  </mc:AlternateContent>
  <xr:revisionPtr revIDLastSave="0" documentId="8_{B8AEEECB-6BFC-2944-89B2-7B28E8D1DAA9}" xr6:coauthVersionLast="47" xr6:coauthVersionMax="47" xr10:uidLastSave="{00000000-0000-0000-0000-000000000000}"/>
  <workbookProtection workbookPassword="EE00" lockStructure="1"/>
  <bookViews>
    <workbookView xWindow="0" yWindow="500" windowWidth="26640" windowHeight="18800" xr2:uid="{00000000-000D-0000-FFFF-FFFF00000000}"/>
  </bookViews>
  <sheets>
    <sheet name="Input" sheetId="1" r:id="rId1"/>
    <sheet name="Calculations" sheetId="5" state="hidden" r:id="rId2"/>
    <sheet name="Electrode arrays" sheetId="2" state="hidden" r:id="rId3"/>
    <sheet name="Reference" sheetId="6" r:id="rId4"/>
  </sheets>
  <definedNames>
    <definedName name="A">Input!$G$24</definedName>
    <definedName name="a_">Input!#REF!</definedName>
    <definedName name="Arrays">'Electrode arrays'!$B$3:$B$10</definedName>
    <definedName name="F_T" comment="Threshold frequency">Calculations!$B$23</definedName>
    <definedName name="k">Input!$G$26</definedName>
    <definedName name="Surgical_approach">'Electrode arrays'!$H$3:$H$4</definedName>
    <definedName name="x_1">Calculations!$G$21</definedName>
    <definedName name="x_2">Calculations!$G$23</definedName>
    <definedName name="y_1">Calculations!$G$22</definedName>
    <definedName name="y_2">Calculations!$G$24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2" i="5" l="1"/>
  <c r="H16" i="5" l="1"/>
  <c r="H15" i="5"/>
  <c r="H14" i="5"/>
  <c r="H13" i="5"/>
  <c r="H12" i="5"/>
  <c r="H11" i="5"/>
  <c r="H10" i="5"/>
  <c r="H9" i="5"/>
  <c r="H8" i="5"/>
  <c r="H7" i="5"/>
  <c r="D8" i="5"/>
  <c r="D14" i="5"/>
  <c r="D15" i="5"/>
  <c r="D13" i="5"/>
  <c r="D9" i="5"/>
  <c r="D10" i="5"/>
  <c r="D11" i="5"/>
  <c r="D12" i="5"/>
  <c r="H18" i="5" l="1"/>
  <c r="G43" i="5" l="1"/>
  <c r="G30" i="5" l="1"/>
  <c r="C21" i="1"/>
  <c r="D13" i="2"/>
  <c r="G31" i="5" s="1"/>
  <c r="G38" i="5" l="1"/>
  <c r="G44" i="5" s="1"/>
  <c r="D16" i="5"/>
  <c r="B14" i="5"/>
  <c r="B15" i="5"/>
  <c r="B16" i="5"/>
  <c r="G13" i="5" l="1"/>
  <c r="G12" i="5"/>
  <c r="G16" i="5"/>
  <c r="G15" i="5"/>
  <c r="G14" i="5"/>
  <c r="G9" i="5"/>
  <c r="G8" i="5"/>
  <c r="G11" i="5"/>
  <c r="G10" i="5"/>
  <c r="J25" i="1" l="1"/>
  <c r="J24" i="1"/>
  <c r="J23" i="1"/>
  <c r="B8" i="5"/>
  <c r="B9" i="5"/>
  <c r="B10" i="5"/>
  <c r="B11" i="5"/>
  <c r="B12" i="5"/>
  <c r="B13" i="5"/>
  <c r="D7" i="5"/>
  <c r="B7" i="5"/>
  <c r="F7" i="5" l="1"/>
  <c r="G7" i="5"/>
  <c r="C13" i="2"/>
  <c r="C10" i="2"/>
  <c r="C9" i="2"/>
  <c r="C8" i="2"/>
  <c r="C3" i="2"/>
  <c r="C6" i="2"/>
  <c r="F8" i="5" l="1"/>
  <c r="F9" i="5" s="1"/>
  <c r="F10" i="5" s="1"/>
  <c r="F11" i="5" s="1"/>
  <c r="F12" i="5" s="1"/>
  <c r="F13" i="5" s="1"/>
  <c r="F14" i="5" s="1"/>
  <c r="F15" i="5" s="1"/>
  <c r="F16" i="5" s="1"/>
  <c r="G18" i="5" l="1"/>
  <c r="G23" i="5" l="1"/>
  <c r="M28" i="1"/>
  <c r="G24" i="5"/>
  <c r="M26" i="1"/>
  <c r="G22" i="5"/>
  <c r="G21" i="5"/>
  <c r="M27" i="1"/>
  <c r="B23" i="5" l="1"/>
  <c r="G39" i="5" l="1"/>
  <c r="G45" i="5" s="1"/>
  <c r="G46" i="5" s="1"/>
  <c r="G47" i="5" s="1"/>
  <c r="G40" i="5" l="1"/>
  <c r="I40" i="5" l="1"/>
  <c r="I41" i="5" s="1"/>
  <c r="I45" i="5" s="1"/>
  <c r="I46" i="5" s="1"/>
  <c r="I47" i="5" s="1"/>
  <c r="H40" i="5"/>
  <c r="H41" i="5" s="1"/>
  <c r="H45" i="5" s="1"/>
  <c r="H46" i="5" s="1"/>
  <c r="H47" i="5" s="1"/>
  <c r="G24" i="1" l="1"/>
  <c r="B80" i="5"/>
  <c r="B79" i="5"/>
  <c r="B72" i="5" l="1"/>
  <c r="B81" i="5" l="1"/>
  <c r="B90" i="5"/>
  <c r="B85" i="5"/>
  <c r="B87" i="5"/>
  <c r="B86" i="5"/>
  <c r="B89" i="5"/>
  <c r="B83" i="5"/>
  <c r="B88" i="5"/>
  <c r="B84" i="5"/>
  <c r="B82" i="5"/>
  <c r="B74" i="5"/>
  <c r="B73" i="5"/>
  <c r="B69" i="5"/>
  <c r="B77" i="5"/>
  <c r="B75" i="5"/>
  <c r="B71" i="5"/>
  <c r="B78" i="5"/>
  <c r="B76" i="5"/>
  <c r="B70" i="5"/>
</calcChain>
</file>

<file path=xl/sharedStrings.xml><?xml version="1.0" encoding="utf-8"?>
<sst xmlns="http://schemas.openxmlformats.org/spreadsheetml/2006/main" count="70" uniqueCount="65">
  <si>
    <t>Audiogram</t>
  </si>
  <si>
    <t>x1</t>
  </si>
  <si>
    <t>x2</t>
  </si>
  <si>
    <t>y1</t>
  </si>
  <si>
    <t>y2</t>
  </si>
  <si>
    <t>Hearing level [dB]</t>
  </si>
  <si>
    <t>Frequency [Hz]</t>
  </si>
  <si>
    <t>Threshold level [dB]</t>
  </si>
  <si>
    <t>Distance between electrodes [mm]</t>
  </si>
  <si>
    <t>Type of electrode array</t>
  </si>
  <si>
    <t>FLEXsoft</t>
  </si>
  <si>
    <t>FLEX28</t>
  </si>
  <si>
    <t>FLEX24</t>
  </si>
  <si>
    <t>FLEX20</t>
  </si>
  <si>
    <t>Standard</t>
  </si>
  <si>
    <t>Medium</t>
  </si>
  <si>
    <t>Compressed</t>
  </si>
  <si>
    <t>Value of selected array</t>
  </si>
  <si>
    <t>Interpolate between these points</t>
  </si>
  <si>
    <t>Audiogram (copy of input)</t>
  </si>
  <si>
    <t>MED-EL electrode array</t>
  </si>
  <si>
    <t>Geometric data</t>
  </si>
  <si>
    <t>References</t>
  </si>
  <si>
    <t>Insertion angle [°]</t>
  </si>
  <si>
    <t>Number of electrodes in acoustic region</t>
  </si>
  <si>
    <t>Surgical approach</t>
  </si>
  <si>
    <t>Cochleostomy</t>
  </si>
  <si>
    <t>RW</t>
  </si>
  <si>
    <t>Length of tip [mm]</t>
  </si>
  <si>
    <t>If cochleostomy is used add value from input [mm]</t>
  </si>
  <si>
    <t>Distance tip to 1st electrode [mm]</t>
  </si>
  <si>
    <t>2. Values to adapt insertion depth</t>
  </si>
  <si>
    <t>Array insertion depth [mm]</t>
  </si>
  <si>
    <t>1. Cut-off frequency for acoustic region determined from audiogram</t>
  </si>
  <si>
    <t>Cut-off frequency (Fc)</t>
  </si>
  <si>
    <t>Description</t>
  </si>
  <si>
    <t>Value</t>
  </si>
  <si>
    <t>Estimated number of electrodes in acoustic region</t>
  </si>
  <si>
    <t>HL &lt;= TL</t>
  </si>
  <si>
    <t>Index to use:</t>
  </si>
  <si>
    <t>Index</t>
  </si>
  <si>
    <t>else if HL &gt; threshold and previous hearing level &lt;= threshold and previous cell has an index --&gt; give index number; else 0</t>
  </si>
  <si>
    <t xml:space="preserve">Index: If both HL at this and previous frequency are &lt;= threshold level and the same did hold for the previous cell --&gt; give index number; </t>
  </si>
  <si>
    <t>Last entry</t>
  </si>
  <si>
    <t>Data to plot uncertainty area</t>
  </si>
  <si>
    <t>FLEX26</t>
  </si>
  <si>
    <r>
      <t xml:space="preserve">Value angle + x </t>
    </r>
    <r>
      <rPr>
        <b/>
        <sz val="11"/>
        <color theme="1"/>
        <rFont val="Calibri Light"/>
        <family val="2"/>
      </rPr>
      <t>°</t>
    </r>
  </si>
  <si>
    <r>
      <t xml:space="preserve">Value angle - x </t>
    </r>
    <r>
      <rPr>
        <b/>
        <sz val="11"/>
        <color theme="1"/>
        <rFont val="Calibri Light"/>
        <family val="2"/>
      </rPr>
      <t>°</t>
    </r>
  </si>
  <si>
    <t xml:space="preserve">3. Calculation for array </t>
  </si>
  <si>
    <r>
      <t>Degree shift for uncertainty range [</t>
    </r>
    <r>
      <rPr>
        <sz val="11"/>
        <rFont val="Calibri"/>
        <family val="2"/>
      </rPr>
      <t>°</t>
    </r>
    <r>
      <rPr>
        <sz val="11"/>
        <rFont val="Calibri"/>
        <family val="2"/>
        <scheme val="minor"/>
      </rPr>
      <t>]</t>
    </r>
  </si>
  <si>
    <t>Relative length OC at middle RW (Stakhovskaya; middle of RW is 1.5 degree for the beginning of OC)</t>
  </si>
  <si>
    <t>Length of OC in acoustic region [mm]</t>
  </si>
  <si>
    <t>Greenwood D.D. (1990) A cochlear frequency-position function for several spieces - 29 years later. Journal of the Acocustic Society of America 87(6):2592-2605.</t>
  </si>
  <si>
    <r>
      <t xml:space="preserve">Insertion depth E1 at RW 0 </t>
    </r>
    <r>
      <rPr>
        <b/>
        <sz val="11"/>
        <color theme="1"/>
        <rFont val="Calibri"/>
        <family val="2"/>
      </rPr>
      <t>°</t>
    </r>
  </si>
  <si>
    <t xml:space="preserve">Relative length OC at cut-off freq </t>
  </si>
  <si>
    <t xml:space="preserve">Angle at cut-off freq for OC </t>
  </si>
  <si>
    <t>Relative length OC at cut-off freq</t>
  </si>
  <si>
    <t>Rel length OC at insertion angle</t>
  </si>
  <si>
    <t>OC length + geometry</t>
  </si>
  <si>
    <t>Acoustic region</t>
  </si>
  <si>
    <t>Polak M, Lorens A, Furmanek M, Skarzyński H.  (2020) Electrode estimation in the acoustic region of the human Cochlea. Acta Otolaryngol. 30:1-10. doi: 10.1080/00016489.2020.1736337.</t>
  </si>
  <si>
    <t>Natural Electro Acoustic Stimulation Fitting in Cochlear Implant Patients with Hearing preservation</t>
  </si>
  <si>
    <r>
      <t xml:space="preserve">Kawano, A., Seldon, H.L., Clark, G.M. (1996) </t>
    </r>
    <r>
      <rPr>
        <i/>
        <sz val="12"/>
        <color theme="1"/>
        <rFont val="Calibri"/>
        <family val="2"/>
        <scheme val="minor"/>
      </rPr>
      <t xml:space="preserve">Computer-aided three-dimensional reconstruction in human cochlear maps: measurement of the lengths of organ of Corti, outer wall, inner wall, and Rosenthal´s canal. </t>
    </r>
    <r>
      <rPr>
        <sz val="12"/>
        <color theme="1"/>
        <rFont val="Calibri"/>
        <family val="2"/>
        <scheme val="minor"/>
      </rPr>
      <t>Ann. Otol. Rhinol. Laryngol. 105(9):701-709</t>
    </r>
  </si>
  <si>
    <r>
      <t xml:space="preserve">Stakhovskaya, O., Sridhar, D., Bonham, B.H., Leake, P.A. (2007) </t>
    </r>
    <r>
      <rPr>
        <i/>
        <sz val="12"/>
        <color theme="1"/>
        <rFont val="Calibri"/>
        <family val="2"/>
        <scheme val="minor"/>
      </rPr>
      <t xml:space="preserve">Frequency map for the human cochlear spiral ganglion: implications for cochlear implants. </t>
    </r>
    <r>
      <rPr>
        <sz val="12"/>
        <color theme="1"/>
        <rFont val="Calibri"/>
        <family val="2"/>
        <scheme val="minor"/>
      </rPr>
      <t>Journal of the association for research in otolaryngology 8:220-233</t>
    </r>
  </si>
  <si>
    <r>
      <t xml:space="preserve">An increased number of people with low frequency hearing are now being considered for cochlear implantation. Nowadays, it is common to preserve the residual hearing with deeply inserted electrodes (Skarzynski, Lorens, 2010; Skarzynski et al., 2011; Helbig et al., 2011; Usami et al., 2011; Bruce et al., 2011, 2014; Rogers et al., 2012; Mick et al., 2013; Nordfalk et al., 2016; O'Connell et al., 2017; Moteki et al., 2018). As such, there is an increased probability that the electrode array could be positioned within the acoustic region of the cochlea and a certain amount of overlap between electric and acoustic stimulation within the cochlea could be expected. In order to optimize the overlap between the acoustic hearing and the electrical stimulation the following EAS Fitting method can be applied:
</t>
    </r>
    <r>
      <rPr>
        <b/>
        <sz val="12"/>
        <color theme="1"/>
        <rFont val="Avenir Book"/>
        <family val="2"/>
      </rPr>
      <t>1</t>
    </r>
    <r>
      <rPr>
        <sz val="12"/>
        <color theme="1"/>
        <rFont val="Avenir Book"/>
        <family val="2"/>
      </rPr>
      <t xml:space="preserve">. Calculate how many electrodes are in the acoustic region (postop CT required)
</t>
    </r>
    <r>
      <rPr>
        <b/>
        <sz val="12"/>
        <color theme="1"/>
        <rFont val="Avenir Book"/>
        <family val="2"/>
      </rPr>
      <t>2.</t>
    </r>
    <r>
      <rPr>
        <sz val="12"/>
        <color theme="1"/>
        <rFont val="Avenir Book"/>
        <family val="2"/>
      </rPr>
      <t xml:space="preserve"> Consider switching off electrodes in the acoustic region based on the results provided by the calculations above
</t>
    </r>
    <r>
      <rPr>
        <b/>
        <sz val="12"/>
        <color theme="1"/>
        <rFont val="Avenir Book"/>
        <family val="2"/>
      </rPr>
      <t>3.</t>
    </r>
    <r>
      <rPr>
        <sz val="12"/>
        <color theme="1"/>
        <rFont val="Avenir Book"/>
        <family val="2"/>
      </rPr>
      <t xml:space="preserve"> Apply the EAS fitting method in the MAESTRO fitting software
The first point is achieved via the Excel tool. For the fitting purposes the acoustic region is defined at 65dB HL from the postoperative audiogram. The precision of this tool is +24 °, which accounts for + 0.84mm of the electrode array length. Please mind that this uncertainty is not accounted for the estimated number of electrodes in the acoustic region, but it is visualized in the graph. The necessary input is hearing levels at characteristic frequencies, electrode insertion angle, electrode insertion depth, type of array, type of surgery (RW/cochleostomy – default 1mm from RW). All the input parameters are highlighted in turquoise color.
The next part of the fitting is performed in the MAESTRO clinical software (please always use the latest version). In the MAESTRO software you have the option to switch the identified electrodes off and the non-acoustic region electrode are activated with the frequency range starting from the cut off frequency (typically at 65dBHL from the unaided audiogram).  Make sure you select FS4 speech coding strategy. Please check if the insertion angle and depth in the input area are correct. The previous research showed that complementary fine structure as implemented in the FS4 strategy, improves hearing of EAS subjects especially in noise. Having this, the EAS fitting continues as a regular EAS fitting (MED-EL EAS fitting manual).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</si>
</sst>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1"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sz val="11"/>
      <color theme="0" tint="-0.249977111117893"/>
      <name val="Calibri"/>
      <family val="2"/>
      <scheme val="minor"/>
    </font>
    <font>
      <sz val="11"/>
      <color rgb="FFFF0000"/>
      <name val="Calibri"/>
      <family val="2"/>
      <scheme val="minor"/>
    </font>
    <font>
      <sz val="11"/>
      <color theme="0"/>
      <name val="Calibri"/>
      <family val="2"/>
      <scheme val="minor"/>
    </font>
    <font>
      <b/>
      <sz val="11"/>
      <color theme="1"/>
      <name val="Calibri Light"/>
      <family val="2"/>
    </font>
    <font>
      <sz val="11"/>
      <name val="Calibri"/>
      <family val="2"/>
    </font>
    <font>
      <b/>
      <sz val="11"/>
      <color theme="1"/>
      <name val="Calibri"/>
      <family val="2"/>
    </font>
    <font>
      <sz val="11"/>
      <color theme="1"/>
      <name val="Avenir Book"/>
      <family val="2"/>
    </font>
    <font>
      <b/>
      <sz val="11"/>
      <color rgb="FFFF0000"/>
      <name val="Avenir Book"/>
      <family val="2"/>
    </font>
    <font>
      <b/>
      <sz val="11"/>
      <color theme="1"/>
      <name val="Avenir Book"/>
      <family val="2"/>
    </font>
    <font>
      <sz val="11"/>
      <name val="Avenir Book"/>
      <family val="2"/>
    </font>
    <font>
      <b/>
      <sz val="11"/>
      <color theme="0"/>
      <name val="Calibri"/>
      <family val="2"/>
      <scheme val="minor"/>
    </font>
    <font>
      <b/>
      <sz val="12"/>
      <color theme="1"/>
      <name val="Avenir Book"/>
      <family val="2"/>
    </font>
    <font>
      <sz val="12"/>
      <color theme="1"/>
      <name val="Avenir Book"/>
      <family val="2"/>
    </font>
    <font>
      <i/>
      <sz val="12"/>
      <color theme="1"/>
      <name val="Calibri"/>
      <family val="2"/>
      <scheme val="minor"/>
    </font>
    <font>
      <b/>
      <sz val="12"/>
      <color rgb="FF000000"/>
      <name val="Avenir Book"/>
      <family val="2"/>
    </font>
  </fonts>
  <fills count="13">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rgb="FFEBE8EA"/>
        <bgColor indexed="64"/>
      </patternFill>
    </fill>
    <fill>
      <patternFill patternType="solid">
        <fgColor rgb="FF3FC0B9"/>
        <bgColor indexed="64"/>
      </patternFill>
    </fill>
    <fill>
      <patternFill patternType="solid">
        <fgColor rgb="FF9EF1E1"/>
        <bgColor indexed="64"/>
      </patternFill>
    </fill>
    <fill>
      <patternFill patternType="solid">
        <fgColor rgb="FF7F7E7F"/>
        <bgColor indexed="64"/>
      </patternFill>
    </fill>
    <fill>
      <patternFill patternType="solid">
        <fgColor rgb="FFFFFFFF"/>
        <bgColor rgb="FF000000"/>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79">
    <xf numFmtId="0" fontId="0" fillId="0" borderId="0" xfId="0"/>
    <xf numFmtId="0" fontId="0" fillId="2" borderId="2" xfId="0" applyFill="1" applyBorder="1"/>
    <xf numFmtId="0" fontId="0" fillId="2" borderId="0" xfId="0" applyFill="1"/>
    <xf numFmtId="0" fontId="0" fillId="2" borderId="3" xfId="0" applyFill="1" applyBorder="1"/>
    <xf numFmtId="0" fontId="0" fillId="2" borderId="4" xfId="0" applyFill="1" applyBorder="1"/>
    <xf numFmtId="0" fontId="0" fillId="2" borderId="5" xfId="0" applyFill="1" applyBorder="1"/>
    <xf numFmtId="0" fontId="5" fillId="2" borderId="0" xfId="0" applyFont="1" applyFill="1"/>
    <xf numFmtId="0" fontId="0" fillId="2" borderId="8" xfId="0" applyFill="1" applyBorder="1"/>
    <xf numFmtId="0" fontId="0" fillId="2" borderId="6" xfId="0" applyFill="1" applyBorder="1"/>
    <xf numFmtId="0" fontId="0" fillId="5" borderId="0" xfId="0" applyFill="1"/>
    <xf numFmtId="0" fontId="4" fillId="4" borderId="3" xfId="0" applyFont="1" applyFill="1" applyBorder="1"/>
    <xf numFmtId="0" fontId="0" fillId="4" borderId="0" xfId="0" applyFill="1"/>
    <xf numFmtId="0" fontId="0" fillId="4" borderId="3" xfId="0" applyFill="1" applyBorder="1"/>
    <xf numFmtId="0" fontId="3" fillId="2" borderId="1" xfId="0" applyFont="1" applyFill="1" applyBorder="1"/>
    <xf numFmtId="0" fontId="0" fillId="2" borderId="7" xfId="0" applyFill="1" applyBorder="1"/>
    <xf numFmtId="0" fontId="0" fillId="3" borderId="0" xfId="0" applyFill="1"/>
    <xf numFmtId="0" fontId="0" fillId="3" borderId="3" xfId="0" applyFill="1" applyBorder="1"/>
    <xf numFmtId="0" fontId="3" fillId="2" borderId="7" xfId="0" applyFont="1" applyFill="1" applyBorder="1"/>
    <xf numFmtId="0" fontId="3" fillId="2" borderId="2" xfId="0" applyFont="1" applyFill="1" applyBorder="1"/>
    <xf numFmtId="0" fontId="0" fillId="5" borderId="3" xfId="0" applyFill="1" applyBorder="1"/>
    <xf numFmtId="0" fontId="0" fillId="6" borderId="0" xfId="0" applyFill="1"/>
    <xf numFmtId="0" fontId="0" fillId="6" borderId="0" xfId="0" applyFill="1" applyAlignment="1">
      <alignment horizontal="right"/>
    </xf>
    <xf numFmtId="0" fontId="3" fillId="6" borderId="0" xfId="0" applyFont="1" applyFill="1"/>
    <xf numFmtId="2" fontId="0" fillId="6" borderId="0" xfId="0" applyNumberFormat="1" applyFill="1"/>
    <xf numFmtId="0" fontId="0" fillId="6" borderId="0" xfId="0" applyFill="1" applyAlignment="1">
      <alignment wrapText="1"/>
    </xf>
    <xf numFmtId="165" fontId="3" fillId="6" borderId="0" xfId="0" applyNumberFormat="1" applyFont="1" applyFill="1"/>
    <xf numFmtId="0" fontId="6" fillId="6" borderId="0" xfId="0" applyFont="1" applyFill="1"/>
    <xf numFmtId="164" fontId="0" fillId="2" borderId="0" xfId="0" applyNumberFormat="1" applyFill="1"/>
    <xf numFmtId="1" fontId="0" fillId="5" borderId="3" xfId="0" applyNumberFormat="1" applyFill="1" applyBorder="1"/>
    <xf numFmtId="0" fontId="7" fillId="6" borderId="0" xfId="0" applyFont="1" applyFill="1"/>
    <xf numFmtId="0" fontId="0" fillId="7" borderId="3" xfId="0" applyFill="1" applyBorder="1"/>
    <xf numFmtId="0" fontId="0" fillId="7" borderId="0" xfId="0" applyFill="1"/>
    <xf numFmtId="0" fontId="3" fillId="7" borderId="1" xfId="0" applyFont="1" applyFill="1" applyBorder="1"/>
    <xf numFmtId="0" fontId="0" fillId="7" borderId="7" xfId="0" applyFill="1" applyBorder="1"/>
    <xf numFmtId="0" fontId="0" fillId="7" borderId="2" xfId="0" applyFill="1" applyBorder="1"/>
    <xf numFmtId="0" fontId="0" fillId="7" borderId="4" xfId="0" applyFill="1" applyBorder="1"/>
    <xf numFmtId="0" fontId="3" fillId="7" borderId="3" xfId="0" applyFont="1" applyFill="1" applyBorder="1"/>
    <xf numFmtId="0" fontId="0" fillId="7" borderId="5" xfId="0" applyFill="1" applyBorder="1"/>
    <xf numFmtId="0" fontId="0" fillId="7" borderId="8" xfId="0" applyFill="1" applyBorder="1"/>
    <xf numFmtId="0" fontId="0" fillId="7" borderId="6" xfId="0" applyFill="1" applyBorder="1"/>
    <xf numFmtId="164" fontId="8" fillId="6" borderId="0" xfId="0" applyNumberFormat="1" applyFont="1" applyFill="1"/>
    <xf numFmtId="0" fontId="5" fillId="2" borderId="3" xfId="0" applyFont="1" applyFill="1" applyBorder="1"/>
    <xf numFmtId="0" fontId="5" fillId="2" borderId="5" xfId="0" applyFont="1" applyFill="1" applyBorder="1"/>
    <xf numFmtId="0" fontId="5" fillId="2" borderId="8" xfId="0" applyFont="1" applyFill="1" applyBorder="1"/>
    <xf numFmtId="164" fontId="0" fillId="6" borderId="0" xfId="0" applyNumberFormat="1" applyFill="1"/>
    <xf numFmtId="0" fontId="5" fillId="6" borderId="0" xfId="0" applyFont="1" applyFill="1"/>
    <xf numFmtId="2" fontId="5" fillId="6" borderId="0" xfId="0" applyNumberFormat="1" applyFont="1" applyFill="1"/>
    <xf numFmtId="0" fontId="3" fillId="2" borderId="3" xfId="0" applyFont="1" applyFill="1" applyBorder="1"/>
    <xf numFmtId="0" fontId="4" fillId="2" borderId="0" xfId="0" applyFont="1" applyFill="1"/>
    <xf numFmtId="0" fontId="3" fillId="7" borderId="0" xfId="0" applyFont="1" applyFill="1"/>
    <xf numFmtId="2" fontId="0" fillId="7" borderId="0" xfId="0" applyNumberFormat="1" applyFill="1"/>
    <xf numFmtId="1" fontId="0" fillId="7" borderId="0" xfId="0" applyNumberFormat="1" applyFill="1"/>
    <xf numFmtId="164" fontId="0" fillId="7" borderId="0" xfId="0" applyNumberFormat="1" applyFill="1"/>
    <xf numFmtId="1" fontId="0" fillId="6" borderId="0" xfId="0" applyNumberFormat="1" applyFill="1"/>
    <xf numFmtId="165" fontId="0" fillId="6" borderId="0" xfId="0" applyNumberFormat="1" applyFill="1"/>
    <xf numFmtId="164" fontId="5" fillId="2" borderId="0" xfId="0" applyNumberFormat="1" applyFont="1" applyFill="1"/>
    <xf numFmtId="0" fontId="14" fillId="8" borderId="0" xfId="0" applyFont="1" applyFill="1"/>
    <xf numFmtId="0" fontId="14" fillId="8" borderId="0" xfId="0" applyFont="1" applyFill="1" applyAlignment="1">
      <alignment horizontal="right"/>
    </xf>
    <xf numFmtId="0" fontId="12" fillId="8" borderId="0" xfId="0" applyFont="1" applyFill="1" applyAlignment="1">
      <alignment horizontal="right"/>
    </xf>
    <xf numFmtId="0" fontId="12" fillId="8" borderId="0" xfId="0" applyFont="1" applyFill="1"/>
    <xf numFmtId="0" fontId="13" fillId="8" borderId="0" xfId="0" applyFont="1" applyFill="1"/>
    <xf numFmtId="0" fontId="15" fillId="8" borderId="0" xfId="0" applyFont="1" applyFill="1"/>
    <xf numFmtId="0" fontId="12" fillId="10" borderId="0" xfId="0" applyFont="1" applyFill="1" applyAlignment="1">
      <alignment horizontal="right"/>
    </xf>
    <xf numFmtId="0" fontId="3" fillId="11" borderId="0" xfId="0" applyFont="1" applyFill="1"/>
    <xf numFmtId="0" fontId="16" fillId="11" borderId="0" xfId="0" applyFont="1" applyFill="1"/>
    <xf numFmtId="1" fontId="8" fillId="11" borderId="0" xfId="0" applyNumberFormat="1" applyFont="1" applyFill="1" applyAlignment="1">
      <alignment horizontal="right"/>
    </xf>
    <xf numFmtId="0" fontId="13" fillId="8" borderId="0" xfId="0" applyFont="1" applyFill="1" applyAlignment="1">
      <alignment horizontal="left"/>
    </xf>
    <xf numFmtId="0" fontId="14" fillId="8" borderId="0" xfId="0" applyFont="1" applyFill="1" applyAlignment="1">
      <alignment horizontal="left"/>
    </xf>
    <xf numFmtId="0" fontId="12" fillId="9" borderId="0" xfId="0" applyFont="1" applyFill="1"/>
    <xf numFmtId="0" fontId="12" fillId="10" borderId="0" xfId="0" applyFont="1" applyFill="1"/>
    <xf numFmtId="164" fontId="12" fillId="8" borderId="0" xfId="0" applyNumberFormat="1" applyFont="1" applyFill="1" applyAlignment="1">
      <alignment horizontal="right"/>
    </xf>
    <xf numFmtId="0" fontId="0" fillId="11" borderId="0" xfId="0" applyFill="1"/>
    <xf numFmtId="0" fontId="0" fillId="11" borderId="0" xfId="0" applyFill="1" applyAlignment="1">
      <alignment horizontal="right"/>
    </xf>
    <xf numFmtId="165" fontId="0" fillId="11" borderId="0" xfId="0" applyNumberFormat="1" applyFill="1" applyAlignment="1">
      <alignment horizontal="right"/>
    </xf>
    <xf numFmtId="0" fontId="17" fillId="8" borderId="0" xfId="0" applyFont="1" applyFill="1" applyAlignment="1">
      <alignment wrapText="1"/>
    </xf>
    <xf numFmtId="0" fontId="18" fillId="8" borderId="0" xfId="0" applyFont="1" applyFill="1" applyAlignment="1">
      <alignment wrapText="1"/>
    </xf>
    <xf numFmtId="0" fontId="2" fillId="6" borderId="0" xfId="0" applyFont="1" applyFill="1"/>
    <xf numFmtId="0" fontId="20" fillId="12" borderId="0" xfId="0" applyFont="1" applyFill="1"/>
    <xf numFmtId="0" fontId="18" fillId="6" borderId="0" xfId="0" applyFont="1" applyFill="1" applyAlignment="1">
      <alignment wrapText="1"/>
    </xf>
  </cellXfs>
  <cellStyles count="1">
    <cellStyle name="Normal" xfId="0" builtinId="0"/>
  </cellStyles>
  <dxfs count="2">
    <dxf>
      <font>
        <u val="none"/>
        <color theme="0" tint="-4.9989318521683403E-2"/>
      </font>
      <fill>
        <patternFill>
          <bgColor theme="0" tint="-4.9989318521683403E-2"/>
        </patternFill>
      </fill>
    </dxf>
    <dxf>
      <font>
        <color auto="1"/>
      </font>
      <fill>
        <patternFill>
          <bgColor theme="9" tint="0.79998168889431442"/>
        </patternFill>
      </fill>
    </dxf>
  </dxfs>
  <tableStyles count="0" defaultTableStyle="TableStyleMedium2" defaultPivotStyle="PivotStyleLight16"/>
  <colors>
    <mruColors>
      <color rgb="FF3FC0B9"/>
      <color rgb="FFEBE8EA"/>
      <color rgb="FFFFFFD9"/>
      <color rgb="FFFFFFA3"/>
      <color rgb="FFF0E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38661699545624"/>
          <c:y val="0.19044829117768772"/>
          <c:w val="0.75533739734146133"/>
          <c:h val="0.67685992326040345"/>
        </c:manualLayout>
      </c:layout>
      <c:scatterChart>
        <c:scatterStyle val="lineMarker"/>
        <c:varyColors val="0"/>
        <c:ser>
          <c:idx val="0"/>
          <c:order val="0"/>
          <c:spPr>
            <a:ln>
              <a:solidFill>
                <a:srgbClr val="3FC0B9"/>
              </a:solidFill>
            </a:ln>
          </c:spPr>
          <c:xVal>
            <c:numRef>
              <c:f>Input!$D$4:$D$13</c:f>
              <c:numCache>
                <c:formatCode>General</c:formatCode>
                <c:ptCount val="10"/>
                <c:pt idx="0">
                  <c:v>125</c:v>
                </c:pt>
                <c:pt idx="1">
                  <c:v>250</c:v>
                </c:pt>
                <c:pt idx="2">
                  <c:v>500</c:v>
                </c:pt>
                <c:pt idx="3">
                  <c:v>750</c:v>
                </c:pt>
                <c:pt idx="4">
                  <c:v>1000</c:v>
                </c:pt>
                <c:pt idx="5">
                  <c:v>1500</c:v>
                </c:pt>
                <c:pt idx="6">
                  <c:v>2000</c:v>
                </c:pt>
                <c:pt idx="7">
                  <c:v>4000</c:v>
                </c:pt>
                <c:pt idx="8">
                  <c:v>6000</c:v>
                </c:pt>
                <c:pt idx="9">
                  <c:v>8000</c:v>
                </c:pt>
              </c:numCache>
            </c:numRef>
          </c:xVal>
          <c:yVal>
            <c:numRef>
              <c:f>Input!$F$4:$F$13</c:f>
              <c:numCache>
                <c:formatCode>General</c:formatCode>
                <c:ptCount val="10"/>
                <c:pt idx="0">
                  <c:v>40</c:v>
                </c:pt>
                <c:pt idx="1">
                  <c:v>60</c:v>
                </c:pt>
                <c:pt idx="2">
                  <c:v>75</c:v>
                </c:pt>
                <c:pt idx="4">
                  <c:v>110</c:v>
                </c:pt>
                <c:pt idx="6">
                  <c:v>120</c:v>
                </c:pt>
                <c:pt idx="7">
                  <c:v>105</c:v>
                </c:pt>
              </c:numCache>
            </c:numRef>
          </c:yVal>
          <c:smooth val="0"/>
          <c:extLst>
            <c:ext xmlns:c16="http://schemas.microsoft.com/office/drawing/2014/chart" uri="{C3380CC4-5D6E-409C-BE32-E72D297353CC}">
              <c16:uniqueId val="{00000000-B00B-477B-8309-5E691C58C443}"/>
            </c:ext>
          </c:extLst>
        </c:ser>
        <c:ser>
          <c:idx val="1"/>
          <c:order val="1"/>
          <c:tx>
            <c:v>Threshold</c:v>
          </c:tx>
          <c:marker>
            <c:symbol val="plus"/>
            <c:size val="9"/>
            <c:spPr>
              <a:ln w="15875"/>
            </c:spPr>
          </c:marker>
          <c:xVal>
            <c:numRef>
              <c:f>Calculations!$B$23</c:f>
              <c:numCache>
                <c:formatCode>0</c:formatCode>
                <c:ptCount val="1"/>
                <c:pt idx="0">
                  <c:v>333.33333333333331</c:v>
                </c:pt>
              </c:numCache>
            </c:numRef>
          </c:xVal>
          <c:yVal>
            <c:numRef>
              <c:f>Input!$G$16</c:f>
              <c:numCache>
                <c:formatCode>General</c:formatCode>
                <c:ptCount val="1"/>
                <c:pt idx="0">
                  <c:v>65</c:v>
                </c:pt>
              </c:numCache>
            </c:numRef>
          </c:yVal>
          <c:smooth val="0"/>
          <c:extLst>
            <c:ext xmlns:c16="http://schemas.microsoft.com/office/drawing/2014/chart" uri="{C3380CC4-5D6E-409C-BE32-E72D297353CC}">
              <c16:uniqueId val="{00000001-B00B-477B-8309-5E691C58C443}"/>
            </c:ext>
          </c:extLst>
        </c:ser>
        <c:ser>
          <c:idx val="2"/>
          <c:order val="2"/>
          <c:tx>
            <c:v>Threshold_line</c:v>
          </c:tx>
          <c:spPr>
            <a:ln w="25400">
              <a:solidFill>
                <a:srgbClr val="FF0000"/>
              </a:solidFill>
              <a:prstDash val="dash"/>
            </a:ln>
          </c:spPr>
          <c:marker>
            <c:symbol val="none"/>
          </c:marker>
          <c:xVal>
            <c:numRef>
              <c:f>(Calculations!$B$23,Calculations!$B$23)</c:f>
              <c:numCache>
                <c:formatCode>0</c:formatCode>
                <c:ptCount val="2"/>
                <c:pt idx="0">
                  <c:v>333.33333333333331</c:v>
                </c:pt>
                <c:pt idx="1">
                  <c:v>333.33333333333331</c:v>
                </c:pt>
              </c:numCache>
            </c:numRef>
          </c:xVal>
          <c:yVal>
            <c:numLit>
              <c:formatCode>General</c:formatCode>
              <c:ptCount val="2"/>
              <c:pt idx="0">
                <c:v>0</c:v>
              </c:pt>
              <c:pt idx="1">
                <c:v>120</c:v>
              </c:pt>
            </c:numLit>
          </c:yVal>
          <c:smooth val="0"/>
          <c:extLst>
            <c:ext xmlns:c16="http://schemas.microsoft.com/office/drawing/2014/chart" uri="{C3380CC4-5D6E-409C-BE32-E72D297353CC}">
              <c16:uniqueId val="{00000002-B00B-477B-8309-5E691C58C443}"/>
            </c:ext>
          </c:extLst>
        </c:ser>
        <c:ser>
          <c:idx val="3"/>
          <c:order val="3"/>
          <c:tx>
            <c:v>Threshold_level</c:v>
          </c:tx>
          <c:spPr>
            <a:ln w="25400">
              <a:solidFill>
                <a:schemeClr val="accent2">
                  <a:shade val="95000"/>
                  <a:satMod val="105000"/>
                </a:schemeClr>
              </a:solidFill>
              <a:prstDash val="dash"/>
            </a:ln>
          </c:spPr>
          <c:marker>
            <c:symbol val="none"/>
          </c:marker>
          <c:dPt>
            <c:idx val="1"/>
            <c:bubble3D val="0"/>
            <c:spPr>
              <a:ln w="25400">
                <a:solidFill>
                  <a:srgbClr val="FF0000"/>
                </a:solidFill>
                <a:prstDash val="dash"/>
              </a:ln>
            </c:spPr>
            <c:extLst>
              <c:ext xmlns:c16="http://schemas.microsoft.com/office/drawing/2014/chart" uri="{C3380CC4-5D6E-409C-BE32-E72D297353CC}">
                <c16:uniqueId val="{00000001-9553-4749-845D-37FA418A5F51}"/>
              </c:ext>
            </c:extLst>
          </c:dPt>
          <c:xVal>
            <c:numLit>
              <c:formatCode>General</c:formatCode>
              <c:ptCount val="2"/>
              <c:pt idx="0">
                <c:v>1</c:v>
              </c:pt>
              <c:pt idx="1">
                <c:v>8000</c:v>
              </c:pt>
            </c:numLit>
          </c:xVal>
          <c:yVal>
            <c:numRef>
              <c:f>(Input!$G$16,Input!$G$16)</c:f>
              <c:numCache>
                <c:formatCode>General</c:formatCode>
                <c:ptCount val="2"/>
                <c:pt idx="0">
                  <c:v>65</c:v>
                </c:pt>
                <c:pt idx="1">
                  <c:v>65</c:v>
                </c:pt>
              </c:numCache>
            </c:numRef>
          </c:yVal>
          <c:smooth val="0"/>
          <c:extLst>
            <c:ext xmlns:c16="http://schemas.microsoft.com/office/drawing/2014/chart" uri="{C3380CC4-5D6E-409C-BE32-E72D297353CC}">
              <c16:uniqueId val="{00000003-B00B-477B-8309-5E691C58C443}"/>
            </c:ext>
          </c:extLst>
        </c:ser>
        <c:ser>
          <c:idx val="4"/>
          <c:order val="4"/>
          <c:tx>
            <c:v>Xaxis</c:v>
          </c:tx>
          <c:spPr>
            <a:ln>
              <a:noFill/>
            </a:ln>
          </c:spPr>
          <c:marker>
            <c:symbol val="plus"/>
            <c:size val="7"/>
            <c:spPr>
              <a:ln>
                <a:solidFill>
                  <a:schemeClr val="bg1">
                    <a:lumMod val="50000"/>
                  </a:schemeClr>
                </a:solidFill>
              </a:ln>
            </c:spPr>
          </c:marker>
          <c:dLbls>
            <c:spPr>
              <a:noFill/>
              <a:ln>
                <a:noFill/>
              </a:ln>
              <a:effectLst/>
            </c:sp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Lit>
              <c:formatCode>General</c:formatCode>
              <c:ptCount val="7"/>
              <c:pt idx="0">
                <c:v>125</c:v>
              </c:pt>
              <c:pt idx="1">
                <c:v>250</c:v>
              </c:pt>
              <c:pt idx="2">
                <c:v>500</c:v>
              </c:pt>
              <c:pt idx="3">
                <c:v>1000</c:v>
              </c:pt>
              <c:pt idx="4">
                <c:v>2000</c:v>
              </c:pt>
              <c:pt idx="5">
                <c:v>4000</c:v>
              </c:pt>
              <c:pt idx="6">
                <c:v>8000</c:v>
              </c:pt>
            </c:numLit>
          </c:xVal>
          <c:yVal>
            <c:numLit>
              <c:formatCode>General</c:formatCode>
              <c:ptCount val="7"/>
              <c:pt idx="0">
                <c:v>0</c:v>
              </c:pt>
              <c:pt idx="1">
                <c:v>0</c:v>
              </c:pt>
              <c:pt idx="2">
                <c:v>0</c:v>
              </c:pt>
              <c:pt idx="3">
                <c:v>0</c:v>
              </c:pt>
              <c:pt idx="4">
                <c:v>0</c:v>
              </c:pt>
              <c:pt idx="5">
                <c:v>0</c:v>
              </c:pt>
              <c:pt idx="6">
                <c:v>0</c:v>
              </c:pt>
            </c:numLit>
          </c:yVal>
          <c:smooth val="0"/>
          <c:extLst>
            <c:ext xmlns:c16="http://schemas.microsoft.com/office/drawing/2014/chart" uri="{C3380CC4-5D6E-409C-BE32-E72D297353CC}">
              <c16:uniqueId val="{00000004-B00B-477B-8309-5E691C58C443}"/>
            </c:ext>
          </c:extLst>
        </c:ser>
        <c:dLbls>
          <c:showLegendKey val="0"/>
          <c:showVal val="0"/>
          <c:showCatName val="0"/>
          <c:showSerName val="0"/>
          <c:showPercent val="0"/>
          <c:showBubbleSize val="0"/>
        </c:dLbls>
        <c:axId val="129718528"/>
        <c:axId val="129727488"/>
      </c:scatterChart>
      <c:valAx>
        <c:axId val="129718528"/>
        <c:scaling>
          <c:logBase val="10"/>
          <c:orientation val="minMax"/>
          <c:max val="8000"/>
          <c:min val="100"/>
        </c:scaling>
        <c:delete val="0"/>
        <c:axPos val="t"/>
        <c:title>
          <c:tx>
            <c:rich>
              <a:bodyPr/>
              <a:lstStyle/>
              <a:p>
                <a:pPr>
                  <a:defRPr sz="1100">
                    <a:latin typeface="Avenir Book" panose="02000503020000020003" pitchFamily="2" charset="0"/>
                  </a:defRPr>
                </a:pPr>
                <a:r>
                  <a:rPr lang="de-AT" sz="1100">
                    <a:latin typeface="Avenir Book" panose="02000503020000020003" pitchFamily="2" charset="0"/>
                  </a:rPr>
                  <a:t>Frequency [Hz]</a:t>
                </a:r>
              </a:p>
            </c:rich>
          </c:tx>
          <c:layout>
            <c:manualLayout>
              <c:xMode val="edge"/>
              <c:yMode val="edge"/>
              <c:x val="0.39913254279969179"/>
              <c:y val="3.4133284961587913E-2"/>
            </c:manualLayout>
          </c:layout>
          <c:overlay val="0"/>
        </c:title>
        <c:numFmt formatCode="General" sourceLinked="0"/>
        <c:majorTickMark val="none"/>
        <c:minorTickMark val="none"/>
        <c:tickLblPos val="none"/>
        <c:crossAx val="129727488"/>
        <c:crossesAt val="0"/>
        <c:crossBetween val="midCat"/>
      </c:valAx>
      <c:valAx>
        <c:axId val="129727488"/>
        <c:scaling>
          <c:orientation val="maxMin"/>
          <c:max val="120"/>
          <c:min val="0"/>
        </c:scaling>
        <c:delete val="0"/>
        <c:axPos val="l"/>
        <c:majorGridlines/>
        <c:title>
          <c:tx>
            <c:rich>
              <a:bodyPr rot="-5400000" vert="horz"/>
              <a:lstStyle/>
              <a:p>
                <a:pPr>
                  <a:defRPr sz="1100">
                    <a:latin typeface="Avenir Book" panose="02000503020000020003" pitchFamily="2" charset="0"/>
                  </a:defRPr>
                </a:pPr>
                <a:r>
                  <a:rPr lang="de-AT" sz="1100">
                    <a:latin typeface="Avenir Book" panose="02000503020000020003" pitchFamily="2" charset="0"/>
                  </a:rPr>
                  <a:t>Hearing</a:t>
                </a:r>
                <a:r>
                  <a:rPr lang="de-AT" sz="1100" baseline="0">
                    <a:latin typeface="Avenir Book" panose="02000503020000020003" pitchFamily="2" charset="0"/>
                  </a:rPr>
                  <a:t> level [dB]</a:t>
                </a:r>
                <a:endParaRPr lang="de-AT" sz="1100">
                  <a:latin typeface="Avenir Book" panose="02000503020000020003" pitchFamily="2" charset="0"/>
                </a:endParaRPr>
              </a:p>
            </c:rich>
          </c:tx>
          <c:overlay val="0"/>
        </c:title>
        <c:numFmt formatCode="General" sourceLinked="1"/>
        <c:majorTickMark val="out"/>
        <c:minorTickMark val="none"/>
        <c:tickLblPos val="nextTo"/>
        <c:crossAx val="129718528"/>
        <c:crosses val="autoZero"/>
        <c:crossBetween val="midCat"/>
        <c:majorUnit val="10"/>
      </c:valAx>
    </c:plotArea>
    <c:plotVisOnly val="1"/>
    <c:dispBlanksAs val="span"/>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638888888888888E-2"/>
          <c:y val="0.23938642915537198"/>
          <c:w val="0.69508267716535432"/>
          <c:h val="0.51439524977410611"/>
        </c:manualLayout>
      </c:layout>
      <c:scatterChart>
        <c:scatterStyle val="lineMarker"/>
        <c:varyColors val="0"/>
        <c:ser>
          <c:idx val="0"/>
          <c:order val="0"/>
          <c:tx>
            <c:v>Electrodes</c:v>
          </c:tx>
          <c:spPr>
            <a:ln>
              <a:solidFill>
                <a:srgbClr val="3FC0B9"/>
              </a:solidFill>
            </a:ln>
          </c:spPr>
          <c:y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yVal>
          <c:smooth val="0"/>
          <c:extLst>
            <c:ext xmlns:c16="http://schemas.microsoft.com/office/drawing/2014/chart" uri="{C3380CC4-5D6E-409C-BE32-E72D297353CC}">
              <c16:uniqueId val="{00000000-A815-4301-BA9A-6447FF91C715}"/>
            </c:ext>
          </c:extLst>
        </c:ser>
        <c:ser>
          <c:idx val="2"/>
          <c:order val="1"/>
          <c:tx>
            <c:v>Uncertainty</c:v>
          </c:tx>
          <c:spPr>
            <a:ln w="28575">
              <a:solidFill>
                <a:srgbClr val="3FC0B9">
                  <a:alpha val="50000"/>
                </a:srgbClr>
              </a:solidFill>
            </a:ln>
            <a:effectLst/>
          </c:spPr>
          <c:marker>
            <c:symbol val="none"/>
          </c:marker>
          <c:xVal>
            <c:numRef>
              <c:f>Calculations!$B$69:$B$90</c:f>
              <c:numCache>
                <c:formatCode>0.000</c:formatCode>
                <c:ptCount val="22"/>
                <c:pt idx="0">
                  <c:v>1.3228422220652953</c:v>
                </c:pt>
                <c:pt idx="1">
                  <c:v>1.3228422220652953</c:v>
                </c:pt>
                <c:pt idx="2">
                  <c:v>1.3725175690353044</c:v>
                </c:pt>
                <c:pt idx="3">
                  <c:v>1.3725175690353044</c:v>
                </c:pt>
                <c:pt idx="4">
                  <c:v>1.4221929160053137</c:v>
                </c:pt>
                <c:pt idx="5">
                  <c:v>1.4221929160053137</c:v>
                </c:pt>
                <c:pt idx="6">
                  <c:v>1.4718682629753228</c:v>
                </c:pt>
                <c:pt idx="7">
                  <c:v>1.4718682629753228</c:v>
                </c:pt>
                <c:pt idx="8">
                  <c:v>1.5215436099453321</c:v>
                </c:pt>
                <c:pt idx="9">
                  <c:v>1.5215436099453321</c:v>
                </c:pt>
                <c:pt idx="10">
                  <c:v>1.5712189569153412</c:v>
                </c:pt>
                <c:pt idx="11">
                  <c:v>1.5712189569153412</c:v>
                </c:pt>
                <c:pt idx="12">
                  <c:v>1.6233368732493358</c:v>
                </c:pt>
                <c:pt idx="13">
                  <c:v>1.6233368732493358</c:v>
                </c:pt>
                <c:pt idx="14">
                  <c:v>1.6754547895833305</c:v>
                </c:pt>
                <c:pt idx="15">
                  <c:v>1.6754547895833305</c:v>
                </c:pt>
                <c:pt idx="16">
                  <c:v>1.7275727059173254</c:v>
                </c:pt>
                <c:pt idx="17">
                  <c:v>1.7275727059173254</c:v>
                </c:pt>
                <c:pt idx="18">
                  <c:v>1.77969062225132</c:v>
                </c:pt>
                <c:pt idx="19">
                  <c:v>1.77969062225132</c:v>
                </c:pt>
                <c:pt idx="20">
                  <c:v>1.8318085385853147</c:v>
                </c:pt>
                <c:pt idx="21">
                  <c:v>1.8318085385853147</c:v>
                </c:pt>
              </c:numCache>
            </c:numRef>
          </c:xVal>
          <c:yVal>
            <c:numRef>
              <c:f>Calculations!$C$69:$C$90</c:f>
              <c:numCache>
                <c:formatCode>0.0</c:formatCode>
                <c:ptCount val="22"/>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numCache>
            </c:numRef>
          </c:yVal>
          <c:smooth val="0"/>
          <c:extLst>
            <c:ext xmlns:c16="http://schemas.microsoft.com/office/drawing/2014/chart" uri="{C3380CC4-5D6E-409C-BE32-E72D297353CC}">
              <c16:uniqueId val="{00000000-E19E-B041-A3F5-3A001BFD0D6C}"/>
            </c:ext>
          </c:extLst>
        </c:ser>
        <c:ser>
          <c:idx val="1"/>
          <c:order val="2"/>
          <c:tx>
            <c:v>Cut-off</c:v>
          </c:tx>
          <c:spPr>
            <a:ln>
              <a:solidFill>
                <a:srgbClr val="FF0000"/>
              </a:solidFill>
            </a:ln>
          </c:spPr>
          <c:marker>
            <c:symbol val="none"/>
          </c:marker>
          <c:xVal>
            <c:numRef>
              <c:f>(Calculations!$G$47,Calculations!$G$47)</c:f>
              <c:numCache>
                <c:formatCode>0.00</c:formatCode>
                <c:ptCount val="2"/>
                <c:pt idx="0">
                  <c:v>1.5712189569153412</c:v>
                </c:pt>
                <c:pt idx="1">
                  <c:v>1.5712189569153412</c:v>
                </c:pt>
              </c:numCache>
            </c:numRef>
          </c:xVal>
          <c:yVal>
            <c:numLit>
              <c:formatCode>General</c:formatCode>
              <c:ptCount val="2"/>
              <c:pt idx="0">
                <c:v>-0.1</c:v>
              </c:pt>
              <c:pt idx="1">
                <c:v>0.1</c:v>
              </c:pt>
            </c:numLit>
          </c:yVal>
          <c:smooth val="0"/>
          <c:extLst>
            <c:ext xmlns:c16="http://schemas.microsoft.com/office/drawing/2014/chart" uri="{C3380CC4-5D6E-409C-BE32-E72D297353CC}">
              <c16:uniqueId val="{00000001-A815-4301-BA9A-6447FF91C715}"/>
            </c:ext>
          </c:extLst>
        </c:ser>
        <c:dLbls>
          <c:showLegendKey val="0"/>
          <c:showVal val="0"/>
          <c:showCatName val="0"/>
          <c:showSerName val="0"/>
          <c:showPercent val="0"/>
          <c:showBubbleSize val="0"/>
        </c:dLbls>
        <c:axId val="130608128"/>
        <c:axId val="130614400"/>
      </c:scatterChart>
      <c:valAx>
        <c:axId val="130608128"/>
        <c:scaling>
          <c:orientation val="minMax"/>
          <c:max val="12"/>
          <c:min val="-6"/>
        </c:scaling>
        <c:delete val="0"/>
        <c:axPos val="b"/>
        <c:title>
          <c:tx>
            <c:rich>
              <a:bodyPr/>
              <a:lstStyle/>
              <a:p>
                <a:pPr>
                  <a:defRPr/>
                </a:pPr>
                <a:r>
                  <a:rPr lang="de-AT">
                    <a:latin typeface="Avenir Book" panose="02000503020000020003" pitchFamily="2" charset="0"/>
                  </a:rPr>
                  <a:t>Electrode</a:t>
                </a:r>
                <a:r>
                  <a:rPr lang="de-AT" baseline="0">
                    <a:latin typeface="Avenir Book" panose="02000503020000020003" pitchFamily="2" charset="0"/>
                  </a:rPr>
                  <a:t> number</a:t>
                </a:r>
                <a:endParaRPr lang="de-AT">
                  <a:latin typeface="Avenir Book" panose="02000503020000020003" pitchFamily="2" charset="0"/>
                </a:endParaRPr>
              </a:p>
            </c:rich>
          </c:tx>
          <c:overlay val="0"/>
        </c:title>
        <c:numFmt formatCode="0" sourceLinked="0"/>
        <c:majorTickMark val="out"/>
        <c:minorTickMark val="none"/>
        <c:tickLblPos val="nextTo"/>
        <c:crossAx val="130614400"/>
        <c:crosses val="autoZero"/>
        <c:crossBetween val="midCat"/>
        <c:majorUnit val="1"/>
      </c:valAx>
      <c:valAx>
        <c:axId val="130614400"/>
        <c:scaling>
          <c:orientation val="minMax"/>
          <c:max val="0.1"/>
          <c:min val="-0.1"/>
        </c:scaling>
        <c:delete val="0"/>
        <c:axPos val="l"/>
        <c:numFmt formatCode="General" sourceLinked="1"/>
        <c:majorTickMark val="none"/>
        <c:minorTickMark val="none"/>
        <c:tickLblPos val="none"/>
        <c:spPr>
          <a:noFill/>
          <a:ln>
            <a:noFill/>
          </a:ln>
        </c:spPr>
        <c:crossAx val="130608128"/>
        <c:crosses val="autoZero"/>
        <c:crossBetween val="midCat"/>
        <c:majorUnit val="1"/>
      </c:valAx>
    </c:plotArea>
    <c:legend>
      <c:legendPos val="r"/>
      <c:legendEntry>
        <c:idx val="1"/>
        <c:delete val="1"/>
      </c:legendEntry>
      <c:overlay val="0"/>
      <c:txPr>
        <a:bodyPr/>
        <a:lstStyle/>
        <a:p>
          <a:pPr>
            <a:defRPr>
              <a:latin typeface="Avenir Book" panose="02000503020000020003" pitchFamily="2" charset="0"/>
            </a:defRPr>
          </a:pPr>
          <a:endParaRPr lang="en-AT"/>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a:t>Audiogram</a:t>
            </a:r>
          </a:p>
        </c:rich>
      </c:tx>
      <c:overlay val="0"/>
    </c:title>
    <c:autoTitleDeleted val="0"/>
    <c:plotArea>
      <c:layout>
        <c:manualLayout>
          <c:layoutTarget val="inner"/>
          <c:xMode val="edge"/>
          <c:yMode val="edge"/>
          <c:x val="0.16530776394886124"/>
          <c:y val="0.32134949040460853"/>
          <c:w val="0.75533739734146133"/>
          <c:h val="0.61760064082898725"/>
        </c:manualLayout>
      </c:layout>
      <c:scatterChart>
        <c:scatterStyle val="lineMarker"/>
        <c:varyColors val="0"/>
        <c:ser>
          <c:idx val="0"/>
          <c:order val="0"/>
          <c:xVal>
            <c:numRef>
              <c:f>Input!$D$4:$D$13</c:f>
              <c:numCache>
                <c:formatCode>General</c:formatCode>
                <c:ptCount val="10"/>
                <c:pt idx="0">
                  <c:v>125</c:v>
                </c:pt>
                <c:pt idx="1">
                  <c:v>250</c:v>
                </c:pt>
                <c:pt idx="2">
                  <c:v>500</c:v>
                </c:pt>
                <c:pt idx="3">
                  <c:v>750</c:v>
                </c:pt>
                <c:pt idx="4">
                  <c:v>1000</c:v>
                </c:pt>
                <c:pt idx="5">
                  <c:v>1500</c:v>
                </c:pt>
                <c:pt idx="6">
                  <c:v>2000</c:v>
                </c:pt>
                <c:pt idx="7">
                  <c:v>4000</c:v>
                </c:pt>
                <c:pt idx="8">
                  <c:v>6000</c:v>
                </c:pt>
                <c:pt idx="9">
                  <c:v>8000</c:v>
                </c:pt>
              </c:numCache>
            </c:numRef>
          </c:xVal>
          <c:yVal>
            <c:numRef>
              <c:f>Input!$F$4:$F$13</c:f>
              <c:numCache>
                <c:formatCode>General</c:formatCode>
                <c:ptCount val="10"/>
                <c:pt idx="0">
                  <c:v>40</c:v>
                </c:pt>
                <c:pt idx="1">
                  <c:v>60</c:v>
                </c:pt>
                <c:pt idx="2">
                  <c:v>75</c:v>
                </c:pt>
                <c:pt idx="4">
                  <c:v>110</c:v>
                </c:pt>
                <c:pt idx="6">
                  <c:v>120</c:v>
                </c:pt>
                <c:pt idx="7">
                  <c:v>105</c:v>
                </c:pt>
              </c:numCache>
            </c:numRef>
          </c:yVal>
          <c:smooth val="0"/>
          <c:extLst>
            <c:ext xmlns:c16="http://schemas.microsoft.com/office/drawing/2014/chart" uri="{C3380CC4-5D6E-409C-BE32-E72D297353CC}">
              <c16:uniqueId val="{00000000-A280-48D8-B8D4-4C85B502F98B}"/>
            </c:ext>
          </c:extLst>
        </c:ser>
        <c:ser>
          <c:idx val="1"/>
          <c:order val="1"/>
          <c:tx>
            <c:v>Threshold</c:v>
          </c:tx>
          <c:marker>
            <c:symbol val="plus"/>
            <c:size val="8"/>
            <c:spPr>
              <a:ln w="22225"/>
            </c:spPr>
          </c:marker>
          <c:trendline>
            <c:trendlineType val="linear"/>
            <c:dispRSqr val="0"/>
            <c:dispEq val="0"/>
          </c:trendline>
          <c:trendline>
            <c:trendlineType val="linear"/>
            <c:dispRSqr val="0"/>
            <c:dispEq val="0"/>
          </c:trendline>
          <c:xVal>
            <c:numRef>
              <c:f>Calculations!$B$23</c:f>
              <c:numCache>
                <c:formatCode>0</c:formatCode>
                <c:ptCount val="1"/>
                <c:pt idx="0">
                  <c:v>333.33333333333331</c:v>
                </c:pt>
              </c:numCache>
            </c:numRef>
          </c:xVal>
          <c:yVal>
            <c:numRef>
              <c:f>Input!$G$16</c:f>
              <c:numCache>
                <c:formatCode>General</c:formatCode>
                <c:ptCount val="1"/>
                <c:pt idx="0">
                  <c:v>65</c:v>
                </c:pt>
              </c:numCache>
            </c:numRef>
          </c:yVal>
          <c:smooth val="0"/>
          <c:extLst>
            <c:ext xmlns:c16="http://schemas.microsoft.com/office/drawing/2014/chart" uri="{C3380CC4-5D6E-409C-BE32-E72D297353CC}">
              <c16:uniqueId val="{00000003-A280-48D8-B8D4-4C85B502F98B}"/>
            </c:ext>
          </c:extLst>
        </c:ser>
        <c:ser>
          <c:idx val="2"/>
          <c:order val="2"/>
          <c:spPr>
            <a:ln w="25400">
              <a:solidFill>
                <a:schemeClr val="accent2"/>
              </a:solidFill>
              <a:prstDash val="dash"/>
            </a:ln>
          </c:spPr>
          <c:marker>
            <c:symbol val="none"/>
          </c:marker>
          <c:xVal>
            <c:numRef>
              <c:f>(Calculations!$B$23,Calculations!$B$23)</c:f>
              <c:numCache>
                <c:formatCode>0</c:formatCode>
                <c:ptCount val="2"/>
                <c:pt idx="0">
                  <c:v>333.33333333333331</c:v>
                </c:pt>
                <c:pt idx="1">
                  <c:v>333.33333333333331</c:v>
                </c:pt>
              </c:numCache>
            </c:numRef>
          </c:xVal>
          <c:yVal>
            <c:numLit>
              <c:formatCode>General</c:formatCode>
              <c:ptCount val="2"/>
              <c:pt idx="0">
                <c:v>0</c:v>
              </c:pt>
              <c:pt idx="1">
                <c:v>85</c:v>
              </c:pt>
            </c:numLit>
          </c:yVal>
          <c:smooth val="0"/>
          <c:extLst>
            <c:ext xmlns:c16="http://schemas.microsoft.com/office/drawing/2014/chart" uri="{C3380CC4-5D6E-409C-BE32-E72D297353CC}">
              <c16:uniqueId val="{00000004-A280-48D8-B8D4-4C85B502F98B}"/>
            </c:ext>
          </c:extLst>
        </c:ser>
        <c:ser>
          <c:idx val="3"/>
          <c:order val="3"/>
          <c:tx>
            <c:v>Threshold_level</c:v>
          </c:tx>
          <c:spPr>
            <a:ln w="25400">
              <a:solidFill>
                <a:schemeClr val="accent2">
                  <a:shade val="95000"/>
                  <a:satMod val="105000"/>
                </a:schemeClr>
              </a:solidFill>
              <a:prstDash val="dash"/>
            </a:ln>
          </c:spPr>
          <c:marker>
            <c:symbol val="none"/>
          </c:marker>
          <c:xVal>
            <c:numLit>
              <c:formatCode>General</c:formatCode>
              <c:ptCount val="2"/>
              <c:pt idx="0">
                <c:v>0</c:v>
              </c:pt>
              <c:pt idx="1">
                <c:v>2000</c:v>
              </c:pt>
            </c:numLit>
          </c:xVal>
          <c:yVal>
            <c:numRef>
              <c:f>(Input!$G$16,Input!$G$16)</c:f>
              <c:numCache>
                <c:formatCode>General</c:formatCode>
                <c:ptCount val="2"/>
                <c:pt idx="0">
                  <c:v>65</c:v>
                </c:pt>
                <c:pt idx="1">
                  <c:v>65</c:v>
                </c:pt>
              </c:numCache>
            </c:numRef>
          </c:yVal>
          <c:smooth val="0"/>
          <c:extLst>
            <c:ext xmlns:c16="http://schemas.microsoft.com/office/drawing/2014/chart" uri="{C3380CC4-5D6E-409C-BE32-E72D297353CC}">
              <c16:uniqueId val="{00000005-A280-48D8-B8D4-4C85B502F98B}"/>
            </c:ext>
          </c:extLst>
        </c:ser>
        <c:dLbls>
          <c:showLegendKey val="0"/>
          <c:showVal val="0"/>
          <c:showCatName val="0"/>
          <c:showSerName val="0"/>
          <c:showPercent val="0"/>
          <c:showBubbleSize val="0"/>
        </c:dLbls>
        <c:axId val="128814464"/>
        <c:axId val="128816640"/>
      </c:scatterChart>
      <c:valAx>
        <c:axId val="128814464"/>
        <c:scaling>
          <c:orientation val="minMax"/>
          <c:max val="8000"/>
        </c:scaling>
        <c:delete val="0"/>
        <c:axPos val="t"/>
        <c:title>
          <c:tx>
            <c:rich>
              <a:bodyPr/>
              <a:lstStyle/>
              <a:p>
                <a:pPr>
                  <a:defRPr/>
                </a:pPr>
                <a:r>
                  <a:rPr lang="de-AT"/>
                  <a:t>Frequency [Hz]</a:t>
                </a:r>
              </a:p>
            </c:rich>
          </c:tx>
          <c:overlay val="0"/>
        </c:title>
        <c:numFmt formatCode="General" sourceLinked="1"/>
        <c:majorTickMark val="out"/>
        <c:minorTickMark val="none"/>
        <c:tickLblPos val="nextTo"/>
        <c:crossAx val="128816640"/>
        <c:crosses val="autoZero"/>
        <c:crossBetween val="midCat"/>
      </c:valAx>
      <c:valAx>
        <c:axId val="128816640"/>
        <c:scaling>
          <c:orientation val="maxMin"/>
        </c:scaling>
        <c:delete val="0"/>
        <c:axPos val="l"/>
        <c:majorGridlines/>
        <c:title>
          <c:tx>
            <c:rich>
              <a:bodyPr rot="-5400000" vert="horz"/>
              <a:lstStyle/>
              <a:p>
                <a:pPr>
                  <a:defRPr/>
                </a:pPr>
                <a:r>
                  <a:rPr lang="de-AT"/>
                  <a:t>Hearing</a:t>
                </a:r>
                <a:r>
                  <a:rPr lang="de-AT" baseline="0"/>
                  <a:t> level [dB]</a:t>
                </a:r>
                <a:endParaRPr lang="de-AT"/>
              </a:p>
            </c:rich>
          </c:tx>
          <c:overlay val="0"/>
        </c:title>
        <c:numFmt formatCode="General" sourceLinked="1"/>
        <c:majorTickMark val="out"/>
        <c:minorTickMark val="none"/>
        <c:tickLblPos val="nextTo"/>
        <c:crossAx val="128814464"/>
        <c:crosses val="autoZero"/>
        <c:crossBetween val="midCat"/>
      </c:valAx>
    </c:plotArea>
    <c:plotVisOnly val="1"/>
    <c:dispBlanksAs val="span"/>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238124</xdr:colOff>
      <xdr:row>1</xdr:row>
      <xdr:rowOff>0</xdr:rowOff>
    </xdr:from>
    <xdr:to>
      <xdr:col>15</xdr:col>
      <xdr:colOff>0</xdr:colOff>
      <xdr:row>21</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114300</xdr:rowOff>
    </xdr:from>
    <xdr:to>
      <xdr:col>11</xdr:col>
      <xdr:colOff>38100</xdr:colOff>
      <xdr:row>32</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0.25765</cdr:x>
      <cdr:y>0.89444</cdr:y>
    </cdr:from>
    <cdr:to>
      <cdr:x>0.73737</cdr:x>
      <cdr:y>0.99722</cdr:y>
    </cdr:to>
    <cdr:grpSp>
      <cdr:nvGrpSpPr>
        <cdr:cNvPr id="6" name="Group 5">
          <a:extLst xmlns:a="http://schemas.openxmlformats.org/drawingml/2006/main">
            <a:ext uri="{FF2B5EF4-FFF2-40B4-BE49-F238E27FC236}">
              <a16:creationId xmlns:a16="http://schemas.microsoft.com/office/drawing/2014/main" id="{A487846F-62D1-4A05-ABF9-41329AFD3A0B}"/>
            </a:ext>
          </a:extLst>
        </cdr:cNvPr>
        <cdr:cNvGrpSpPr/>
      </cdr:nvGrpSpPr>
      <cdr:grpSpPr>
        <a:xfrm xmlns:a="http://schemas.openxmlformats.org/drawingml/2006/main">
          <a:off x="1265197" y="3684125"/>
          <a:ext cx="2355677" cy="423342"/>
          <a:chOff x="1107971" y="3076565"/>
          <a:chExt cx="1914537" cy="352438"/>
        </a:xfrm>
      </cdr:grpSpPr>
      <cdr:sp macro="" textlink="">
        <cdr:nvSpPr>
          <cdr:cNvPr id="4" name="TextBox 3"/>
          <cdr:cNvSpPr txBox="1"/>
        </cdr:nvSpPr>
        <cdr:spPr>
          <a:xfrm xmlns:a="http://schemas.openxmlformats.org/drawingml/2006/main">
            <a:off x="1107971" y="3076565"/>
            <a:ext cx="1914537" cy="3524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AT" sz="1100">
                <a:latin typeface="Avenir Book" panose="02000503020000020003" pitchFamily="2" charset="0"/>
              </a:rPr>
              <a:t>Cut-off frequency =            Hz</a:t>
            </a:r>
          </a:p>
        </cdr:txBody>
      </cdr:sp>
      <cdr:sp macro="" textlink="F_T">
        <cdr:nvSpPr>
          <cdr:cNvPr id="3" name="TextBox 2"/>
          <cdr:cNvSpPr txBox="1"/>
        </cdr:nvSpPr>
        <cdr:spPr>
          <a:xfrm xmlns:a="http://schemas.openxmlformats.org/drawingml/2006/main">
            <a:off x="2181696" y="3076571"/>
            <a:ext cx="464705" cy="3524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F1FE075E-12ED-49A1-A87F-43FC293D1378}" type="TxLink">
              <a:rPr lang="en-US" sz="1100" b="0" i="0" u="none" strike="noStrike">
                <a:solidFill>
                  <a:srgbClr val="000000"/>
                </a:solidFill>
                <a:latin typeface="Calibri"/>
              </a:rPr>
              <a:pPr/>
              <a:t>333</a:t>
            </a:fld>
            <a:endParaRPr lang="de-AT" sz="1100"/>
          </a:p>
        </cdr:txBody>
      </cdr:sp>
    </cdr:grpSp>
  </cdr:relSizeAnchor>
</c:userShapes>
</file>

<file path=xl/drawings/drawing3.xml><?xml version="1.0" encoding="utf-8"?>
<c:userShapes xmlns:c="http://schemas.openxmlformats.org/drawingml/2006/chart">
  <cdr:relSizeAnchor xmlns:cdr="http://schemas.openxmlformats.org/drawingml/2006/chartDrawing">
    <cdr:from>
      <cdr:x>0.59179</cdr:x>
      <cdr:y>0.02908</cdr:y>
    </cdr:from>
    <cdr:to>
      <cdr:x>0.80845</cdr:x>
      <cdr:y>0.33677</cdr:y>
    </cdr:to>
    <cdr:sp macro="" textlink="">
      <cdr:nvSpPr>
        <cdr:cNvPr id="2" name="TextBox 1"/>
        <cdr:cNvSpPr txBox="1"/>
      </cdr:nvSpPr>
      <cdr:spPr>
        <a:xfrm xmlns:a="http://schemas.openxmlformats.org/drawingml/2006/main">
          <a:off x="3562439" y="33792"/>
          <a:ext cx="1304250" cy="3575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AT" sz="1100">
              <a:latin typeface="Avenir Book" panose="02000503020000020003" pitchFamily="2" charset="0"/>
            </a:rPr>
            <a:t>Electric</a:t>
          </a:r>
          <a:r>
            <a:rPr lang="de-AT" sz="1100" baseline="0">
              <a:latin typeface="Avenir Book" panose="02000503020000020003" pitchFamily="2" charset="0"/>
            </a:rPr>
            <a:t> region</a:t>
          </a:r>
          <a:endParaRPr lang="de-AT" sz="1100">
            <a:latin typeface="Avenir Book" panose="02000503020000020003" pitchFamily="2" charset="0"/>
          </a:endParaRPr>
        </a:p>
      </cdr:txBody>
    </cdr:sp>
  </cdr:relSizeAnchor>
  <cdr:relSizeAnchor xmlns:cdr="http://schemas.openxmlformats.org/drawingml/2006/chartDrawing">
    <cdr:from>
      <cdr:x>0.04041</cdr:x>
      <cdr:y>0.02856</cdr:y>
    </cdr:from>
    <cdr:to>
      <cdr:x>0.17219</cdr:x>
      <cdr:y>0.33625</cdr:y>
    </cdr:to>
    <cdr:sp macro="" textlink="">
      <cdr:nvSpPr>
        <cdr:cNvPr id="3" name="TextBox 1"/>
        <cdr:cNvSpPr txBox="1"/>
      </cdr:nvSpPr>
      <cdr:spPr>
        <a:xfrm xmlns:a="http://schemas.openxmlformats.org/drawingml/2006/main">
          <a:off x="243272" y="33188"/>
          <a:ext cx="793290" cy="3575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AT" sz="1100">
              <a:latin typeface="Avenir Book" panose="02000503020000020003" pitchFamily="2" charset="0"/>
            </a:rPr>
            <a:t>Acoustic</a:t>
          </a:r>
          <a:r>
            <a:rPr lang="de-AT" sz="1100" baseline="0">
              <a:latin typeface="Avenir Book" panose="02000503020000020003" pitchFamily="2" charset="0"/>
            </a:rPr>
            <a:t> region</a:t>
          </a:r>
          <a:endParaRPr lang="de-AT" sz="1100">
            <a:latin typeface="Avenir Book" panose="02000503020000020003" pitchFamily="2"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9</xdr:col>
      <xdr:colOff>210609</xdr:colOff>
      <xdr:row>4</xdr:row>
      <xdr:rowOff>149223</xdr:rowOff>
    </xdr:from>
    <xdr:to>
      <xdr:col>14</xdr:col>
      <xdr:colOff>1947334</xdr:colOff>
      <xdr:row>25</xdr:row>
      <xdr:rowOff>134935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xdr:colOff>
      <xdr:row>6</xdr:row>
      <xdr:rowOff>169333</xdr:rowOff>
    </xdr:from>
    <xdr:to>
      <xdr:col>0</xdr:col>
      <xdr:colOff>4013200</xdr:colOff>
      <xdr:row>11</xdr:row>
      <xdr:rowOff>17692</xdr:rowOff>
    </xdr:to>
    <xdr:pic>
      <xdr:nvPicPr>
        <xdr:cNvPr id="3" name="Picture 2">
          <a:extLst>
            <a:ext uri="{FF2B5EF4-FFF2-40B4-BE49-F238E27FC236}">
              <a16:creationId xmlns:a16="http://schemas.microsoft.com/office/drawing/2014/main" id="{79D7AC7C-9631-D64E-ACF7-35FBD26D9B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388533"/>
          <a:ext cx="3962400" cy="864359"/>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Z38"/>
  <sheetViews>
    <sheetView tabSelected="1" zoomScale="111" zoomScaleNormal="100" workbookViewId="0">
      <selection activeCell="M35" sqref="M35"/>
    </sheetView>
  </sheetViews>
  <sheetFormatPr baseColWidth="10" defaultColWidth="9.1640625" defaultRowHeight="15" x14ac:dyDescent="0.2"/>
  <cols>
    <col min="1" max="1" width="2.33203125" style="20" customWidth="1"/>
    <col min="2" max="2" width="1.5" style="20" customWidth="1"/>
    <col min="3" max="3" width="20.5" style="20" customWidth="1"/>
    <col min="4" max="4" width="6.5" style="20" customWidth="1"/>
    <col min="5" max="5" width="13.5" style="20" customWidth="1"/>
    <col min="6" max="6" width="8.83203125" style="20" customWidth="1"/>
    <col min="7" max="7" width="13.6640625" style="20" customWidth="1"/>
    <col min="8" max="8" width="2.83203125" style="20" customWidth="1"/>
    <col min="9" max="9" width="3.5" style="20" customWidth="1"/>
    <col min="10" max="11" width="9.1640625" style="20"/>
    <col min="12" max="12" width="11.33203125" style="20" customWidth="1"/>
    <col min="13" max="13" width="16.1640625" style="20" customWidth="1"/>
    <col min="14" max="16384" width="9.1640625" style="20"/>
  </cols>
  <sheetData>
    <row r="2" spans="2:26" ht="16" x14ac:dyDescent="0.25">
      <c r="B2" s="59"/>
      <c r="C2" s="66" t="s">
        <v>0</v>
      </c>
      <c r="D2" s="67"/>
      <c r="E2" s="67"/>
      <c r="F2" s="67"/>
      <c r="G2" s="58"/>
      <c r="H2" s="59"/>
      <c r="P2" s="45"/>
      <c r="Q2" s="45"/>
      <c r="R2" s="45"/>
      <c r="S2" s="45"/>
      <c r="T2" s="45"/>
      <c r="U2" s="45"/>
      <c r="V2" s="45"/>
      <c r="W2" s="45"/>
      <c r="X2" s="45"/>
      <c r="Y2" s="45"/>
      <c r="Z2" s="45"/>
    </row>
    <row r="3" spans="2:26" ht="16" x14ac:dyDescent="0.25">
      <c r="B3" s="59"/>
      <c r="C3" s="56"/>
      <c r="D3" s="57" t="s">
        <v>6</v>
      </c>
      <c r="E3" s="57"/>
      <c r="F3" s="57" t="s">
        <v>5</v>
      </c>
      <c r="G3" s="58"/>
      <c r="H3" s="59"/>
      <c r="P3" s="45"/>
      <c r="Q3" s="45"/>
      <c r="R3" s="45"/>
      <c r="S3" s="45"/>
      <c r="T3" s="45"/>
      <c r="U3" s="45"/>
      <c r="V3" s="45"/>
      <c r="W3" s="45"/>
      <c r="X3" s="45"/>
      <c r="Y3" s="45"/>
      <c r="Z3" s="45"/>
    </row>
    <row r="4" spans="2:26" ht="16" x14ac:dyDescent="0.25">
      <c r="B4" s="59"/>
      <c r="C4" s="59"/>
      <c r="D4" s="59">
        <v>125</v>
      </c>
      <c r="E4" s="59"/>
      <c r="F4" s="68">
        <v>40</v>
      </c>
      <c r="G4" s="59"/>
      <c r="H4" s="59"/>
      <c r="P4" s="45"/>
      <c r="Q4" s="45"/>
      <c r="R4" s="45"/>
      <c r="S4" s="45"/>
      <c r="T4" s="45"/>
      <c r="U4" s="45"/>
      <c r="V4" s="45"/>
      <c r="W4" s="45"/>
      <c r="X4" s="45"/>
      <c r="Y4" s="45"/>
      <c r="Z4" s="45"/>
    </row>
    <row r="5" spans="2:26" ht="16" x14ac:dyDescent="0.25">
      <c r="B5" s="59"/>
      <c r="C5" s="59"/>
      <c r="D5" s="59">
        <v>250</v>
      </c>
      <c r="E5" s="59"/>
      <c r="F5" s="68">
        <v>60</v>
      </c>
      <c r="G5" s="59"/>
      <c r="H5" s="59"/>
      <c r="P5" s="45"/>
      <c r="Q5" s="45"/>
      <c r="R5" s="45"/>
      <c r="S5" s="45"/>
      <c r="T5" s="45"/>
      <c r="U5" s="45"/>
      <c r="V5" s="45"/>
      <c r="W5" s="45"/>
      <c r="X5" s="45"/>
      <c r="Y5" s="45"/>
      <c r="Z5" s="45"/>
    </row>
    <row r="6" spans="2:26" ht="16" x14ac:dyDescent="0.25">
      <c r="B6" s="59"/>
      <c r="C6" s="59"/>
      <c r="D6" s="59">
        <v>500</v>
      </c>
      <c r="E6" s="59"/>
      <c r="F6" s="68">
        <v>75</v>
      </c>
      <c r="G6" s="59"/>
      <c r="H6" s="59"/>
      <c r="P6" s="45"/>
      <c r="Q6" s="45"/>
      <c r="R6" s="45"/>
      <c r="S6" s="45"/>
      <c r="T6" s="45"/>
      <c r="U6" s="45"/>
      <c r="V6" s="45"/>
      <c r="W6" s="45"/>
      <c r="X6" s="45"/>
      <c r="Y6" s="45"/>
      <c r="Z6" s="45"/>
    </row>
    <row r="7" spans="2:26" ht="16" x14ac:dyDescent="0.25">
      <c r="B7" s="59"/>
      <c r="C7" s="59"/>
      <c r="D7" s="59">
        <v>750</v>
      </c>
      <c r="E7" s="59"/>
      <c r="F7" s="68"/>
      <c r="G7" s="59"/>
      <c r="H7" s="59"/>
      <c r="P7" s="45"/>
      <c r="Q7" s="45"/>
      <c r="R7" s="45"/>
      <c r="S7" s="45"/>
      <c r="T7" s="45"/>
      <c r="U7" s="45"/>
      <c r="V7" s="45"/>
      <c r="W7" s="45"/>
      <c r="X7" s="45"/>
      <c r="Y7" s="45"/>
      <c r="Z7" s="45"/>
    </row>
    <row r="8" spans="2:26" ht="16" x14ac:dyDescent="0.25">
      <c r="B8" s="59"/>
      <c r="C8" s="59"/>
      <c r="D8" s="59">
        <v>1000</v>
      </c>
      <c r="E8" s="59"/>
      <c r="F8" s="68">
        <v>110</v>
      </c>
      <c r="G8" s="59"/>
      <c r="H8" s="59"/>
      <c r="P8" s="45"/>
      <c r="Q8" s="45"/>
      <c r="R8" s="45"/>
      <c r="S8" s="45"/>
      <c r="T8" s="45"/>
      <c r="U8" s="45"/>
      <c r="V8" s="45"/>
      <c r="W8" s="45"/>
      <c r="X8" s="45"/>
      <c r="Y8" s="45"/>
      <c r="Z8" s="45"/>
    </row>
    <row r="9" spans="2:26" ht="16" x14ac:dyDescent="0.25">
      <c r="B9" s="59"/>
      <c r="C9" s="59"/>
      <c r="D9" s="59">
        <v>1500</v>
      </c>
      <c r="E9" s="59"/>
      <c r="F9" s="68"/>
      <c r="G9" s="59"/>
      <c r="H9" s="59"/>
      <c r="P9" s="45"/>
      <c r="Q9" s="45"/>
      <c r="R9" s="45"/>
      <c r="S9" s="45"/>
      <c r="T9" s="45"/>
      <c r="U9" s="45"/>
      <c r="V9" s="45"/>
      <c r="W9" s="45"/>
      <c r="X9" s="45"/>
      <c r="Y9" s="45"/>
      <c r="Z9" s="45"/>
    </row>
    <row r="10" spans="2:26" ht="16" x14ac:dyDescent="0.25">
      <c r="B10" s="59"/>
      <c r="C10" s="59"/>
      <c r="D10" s="59">
        <v>2000</v>
      </c>
      <c r="E10" s="59"/>
      <c r="F10" s="68">
        <v>120</v>
      </c>
      <c r="G10" s="59"/>
      <c r="H10" s="59"/>
      <c r="P10" s="45"/>
      <c r="Q10" s="45"/>
      <c r="R10" s="45"/>
      <c r="S10" s="45"/>
      <c r="T10" s="45"/>
      <c r="U10" s="45"/>
      <c r="V10" s="45"/>
      <c r="W10" s="45"/>
      <c r="X10" s="45"/>
      <c r="Y10" s="45"/>
      <c r="Z10" s="45"/>
    </row>
    <row r="11" spans="2:26" ht="16" x14ac:dyDescent="0.25">
      <c r="B11" s="59"/>
      <c r="C11" s="59"/>
      <c r="D11" s="59">
        <v>4000</v>
      </c>
      <c r="E11" s="59"/>
      <c r="F11" s="68">
        <v>105</v>
      </c>
      <c r="G11" s="59"/>
      <c r="H11" s="59"/>
      <c r="P11" s="45"/>
      <c r="Q11" s="45"/>
      <c r="R11" s="45"/>
      <c r="S11" s="45"/>
      <c r="T11" s="45"/>
      <c r="U11" s="45"/>
      <c r="V11" s="45"/>
      <c r="W11" s="45"/>
      <c r="X11" s="45"/>
      <c r="Y11" s="45"/>
      <c r="Z11" s="45"/>
    </row>
    <row r="12" spans="2:26" ht="16" x14ac:dyDescent="0.25">
      <c r="B12" s="59"/>
      <c r="C12" s="59"/>
      <c r="D12" s="59">
        <v>6000</v>
      </c>
      <c r="E12" s="59"/>
      <c r="F12" s="68"/>
      <c r="G12" s="59"/>
      <c r="H12" s="59"/>
      <c r="P12" s="45"/>
      <c r="Q12" s="45"/>
      <c r="R12" s="45"/>
      <c r="S12" s="45"/>
      <c r="T12" s="45"/>
      <c r="U12" s="45"/>
      <c r="V12" s="45"/>
      <c r="W12" s="45"/>
      <c r="X12" s="45"/>
      <c r="Y12" s="45"/>
      <c r="Z12" s="45"/>
    </row>
    <row r="13" spans="2:26" ht="16" x14ac:dyDescent="0.25">
      <c r="B13" s="59"/>
      <c r="C13" s="59"/>
      <c r="D13" s="59">
        <v>8000</v>
      </c>
      <c r="E13" s="59"/>
      <c r="F13" s="68"/>
      <c r="G13" s="59"/>
      <c r="H13" s="59"/>
      <c r="P13" s="45"/>
      <c r="Q13" s="45"/>
      <c r="R13" s="45"/>
      <c r="S13" s="45"/>
      <c r="T13" s="45"/>
      <c r="U13" s="45"/>
      <c r="V13" s="45"/>
      <c r="W13" s="45"/>
      <c r="X13" s="45"/>
      <c r="Y13" s="45"/>
      <c r="Z13" s="45"/>
    </row>
    <row r="14" spans="2:26" ht="16" x14ac:dyDescent="0.25">
      <c r="B14" s="59"/>
      <c r="C14" s="59"/>
      <c r="D14" s="59"/>
      <c r="E14" s="59"/>
      <c r="F14" s="59"/>
      <c r="G14" s="59"/>
      <c r="H14" s="59"/>
      <c r="P14" s="45"/>
      <c r="Q14" s="45"/>
      <c r="R14" s="45"/>
      <c r="S14" s="45"/>
      <c r="T14" s="45"/>
      <c r="U14" s="45"/>
      <c r="V14" s="45"/>
      <c r="W14" s="45"/>
      <c r="X14" s="45"/>
      <c r="Y14" s="45"/>
      <c r="Z14" s="45"/>
    </row>
    <row r="15" spans="2:26" ht="16" x14ac:dyDescent="0.25">
      <c r="B15" s="59"/>
      <c r="C15" s="60" t="s">
        <v>21</v>
      </c>
      <c r="D15" s="56"/>
      <c r="E15" s="56"/>
      <c r="F15" s="59"/>
      <c r="G15" s="59"/>
      <c r="H15" s="59"/>
      <c r="P15" s="45"/>
      <c r="Q15" s="45"/>
      <c r="R15" s="45"/>
      <c r="S15" s="45"/>
      <c r="T15" s="45"/>
      <c r="U15" s="45"/>
      <c r="V15" s="45"/>
      <c r="W15" s="45"/>
      <c r="X15" s="45"/>
      <c r="Y15" s="45"/>
      <c r="Z15" s="45"/>
    </row>
    <row r="16" spans="2:26" ht="16" x14ac:dyDescent="0.25">
      <c r="B16" s="59"/>
      <c r="C16" s="59" t="s">
        <v>7</v>
      </c>
      <c r="D16" s="59"/>
      <c r="E16" s="59"/>
      <c r="F16" s="59"/>
      <c r="G16" s="69">
        <v>65</v>
      </c>
      <c r="H16" s="59"/>
      <c r="P16" s="45"/>
      <c r="Q16" s="45"/>
      <c r="R16" s="45"/>
      <c r="S16" s="45"/>
      <c r="T16" s="45"/>
      <c r="U16" s="45"/>
      <c r="V16" s="45"/>
      <c r="W16" s="45"/>
      <c r="X16" s="45"/>
      <c r="Y16" s="45"/>
      <c r="Z16" s="45"/>
    </row>
    <row r="17" spans="2:26" ht="16" x14ac:dyDescent="0.25">
      <c r="B17" s="59"/>
      <c r="C17" s="59" t="s">
        <v>23</v>
      </c>
      <c r="D17" s="59"/>
      <c r="E17" s="59"/>
      <c r="F17" s="59"/>
      <c r="G17" s="68">
        <v>602</v>
      </c>
      <c r="H17" s="59"/>
      <c r="P17" s="45"/>
      <c r="Q17" s="45"/>
      <c r="R17" s="45"/>
      <c r="S17" s="45"/>
      <c r="T17" s="45"/>
      <c r="U17" s="45"/>
      <c r="V17" s="45"/>
      <c r="W17" s="45"/>
      <c r="X17" s="45"/>
      <c r="Y17" s="45"/>
      <c r="Z17" s="45"/>
    </row>
    <row r="18" spans="2:26" ht="16" x14ac:dyDescent="0.25">
      <c r="B18" s="59"/>
      <c r="C18" s="61" t="s">
        <v>32</v>
      </c>
      <c r="D18" s="61"/>
      <c r="E18" s="61"/>
      <c r="F18" s="59"/>
      <c r="G18" s="68">
        <v>27.8</v>
      </c>
      <c r="H18" s="59"/>
      <c r="P18" s="45"/>
      <c r="Q18" s="45"/>
      <c r="R18" s="45"/>
      <c r="S18" s="45"/>
      <c r="T18" s="45"/>
      <c r="U18" s="45"/>
      <c r="V18" s="45"/>
      <c r="W18" s="45"/>
      <c r="X18" s="45"/>
      <c r="Y18" s="45"/>
      <c r="Z18" s="45"/>
    </row>
    <row r="19" spans="2:26" ht="16" x14ac:dyDescent="0.25">
      <c r="B19" s="59"/>
      <c r="C19" s="59" t="s">
        <v>9</v>
      </c>
      <c r="D19" s="59"/>
      <c r="E19" s="59"/>
      <c r="F19" s="59"/>
      <c r="G19" s="62" t="s">
        <v>10</v>
      </c>
      <c r="H19" s="59"/>
      <c r="P19" s="45"/>
      <c r="Q19" s="45"/>
      <c r="R19" s="45"/>
      <c r="S19" s="45"/>
      <c r="T19" s="45"/>
      <c r="U19" s="45"/>
      <c r="V19" s="45"/>
      <c r="W19" s="45"/>
      <c r="X19" s="45"/>
      <c r="Y19" s="45"/>
      <c r="Z19" s="45"/>
    </row>
    <row r="20" spans="2:26" ht="16" x14ac:dyDescent="0.25">
      <c r="B20" s="59"/>
      <c r="C20" s="59" t="s">
        <v>25</v>
      </c>
      <c r="D20" s="59"/>
      <c r="E20" s="59"/>
      <c r="F20" s="59"/>
      <c r="G20" s="62" t="s">
        <v>27</v>
      </c>
      <c r="H20" s="59"/>
      <c r="P20" s="45"/>
      <c r="Q20" s="45"/>
      <c r="R20" s="45"/>
      <c r="S20" s="45"/>
      <c r="T20" s="45"/>
      <c r="U20" s="45"/>
      <c r="V20" s="45"/>
      <c r="W20" s="45"/>
      <c r="X20" s="45"/>
      <c r="Y20" s="45"/>
      <c r="Z20" s="45"/>
    </row>
    <row r="21" spans="2:26" ht="16" x14ac:dyDescent="0.25">
      <c r="B21" s="59"/>
      <c r="C21" s="59" t="str">
        <f>IF(G20="Cochleostomy","     Distance from RW for cochleostomy [mm]","")</f>
        <v/>
      </c>
      <c r="D21" s="59"/>
      <c r="E21" s="59"/>
      <c r="F21" s="59"/>
      <c r="G21" s="70">
        <v>1</v>
      </c>
      <c r="H21" s="59"/>
      <c r="P21" s="45"/>
      <c r="Q21" s="45"/>
      <c r="R21" s="45"/>
      <c r="S21" s="45"/>
      <c r="T21" s="45"/>
      <c r="U21" s="45"/>
      <c r="V21" s="45"/>
      <c r="W21" s="45"/>
      <c r="X21" s="45"/>
      <c r="Y21" s="45"/>
      <c r="Z21" s="45"/>
    </row>
    <row r="22" spans="2:26" ht="10.5" customHeight="1" x14ac:dyDescent="0.2">
      <c r="G22" s="21"/>
      <c r="P22" s="45"/>
      <c r="Q22" s="45"/>
      <c r="R22" s="45"/>
      <c r="S22" s="45"/>
      <c r="T22" s="45"/>
      <c r="U22" s="45"/>
      <c r="V22" s="45"/>
      <c r="W22" s="45"/>
      <c r="X22" s="45"/>
      <c r="Y22" s="45"/>
      <c r="Z22" s="45"/>
    </row>
    <row r="23" spans="2:26" x14ac:dyDescent="0.2">
      <c r="B23" s="71"/>
      <c r="C23" s="71"/>
      <c r="D23" s="71"/>
      <c r="E23" s="71"/>
      <c r="F23" s="71"/>
      <c r="G23" s="72"/>
      <c r="H23" s="71"/>
      <c r="J23" s="29" t="str">
        <f>IF(OR(Calculations!G44&gt;40,Calculations!G44&lt;25),"Warning:","")</f>
        <v/>
      </c>
      <c r="P23" s="45"/>
      <c r="Q23" s="45"/>
      <c r="R23" s="45"/>
      <c r="S23" s="45"/>
      <c r="T23" s="45"/>
      <c r="U23" s="45"/>
      <c r="V23" s="45"/>
      <c r="W23" s="45"/>
      <c r="X23" s="45"/>
      <c r="Y23" s="45"/>
      <c r="Z23" s="45"/>
    </row>
    <row r="24" spans="2:26" x14ac:dyDescent="0.2">
      <c r="B24" s="71"/>
      <c r="C24" s="64" t="s">
        <v>37</v>
      </c>
      <c r="D24" s="64"/>
      <c r="E24" s="64"/>
      <c r="F24" s="64"/>
      <c r="G24" s="65">
        <f>FLOOR(Calculations!G47,1)</f>
        <v>1</v>
      </c>
      <c r="H24" s="71"/>
      <c r="J24" s="29" t="str">
        <f>IF(OR(Calculations!G44&gt;40,Calculations!G44&lt;25),"The estimated length of the cochlea is not between 25 and 40 mm.","")</f>
        <v/>
      </c>
      <c r="P24" s="45"/>
      <c r="Q24" s="45"/>
      <c r="R24" s="45"/>
      <c r="S24" s="45"/>
      <c r="T24" s="45"/>
      <c r="U24" s="45"/>
      <c r="V24" s="45"/>
      <c r="W24" s="45"/>
      <c r="X24" s="45"/>
      <c r="Y24" s="45"/>
      <c r="Z24" s="45"/>
    </row>
    <row r="25" spans="2:26" x14ac:dyDescent="0.2">
      <c r="B25" s="71"/>
      <c r="C25" s="63"/>
      <c r="D25" s="63"/>
      <c r="E25" s="63"/>
      <c r="F25" s="63"/>
      <c r="G25" s="73"/>
      <c r="H25" s="71"/>
      <c r="J25" s="29" t="str">
        <f>IF(OR(Calculations!G44&gt;40,Calculations!G44&lt;25),"Please check if the insertion angle and depth in the input area are correct.","")</f>
        <v/>
      </c>
      <c r="P25" s="45"/>
      <c r="Q25" s="45"/>
      <c r="R25" s="45"/>
      <c r="S25" s="45"/>
      <c r="T25" s="45"/>
      <c r="U25" s="45"/>
      <c r="V25" s="45"/>
      <c r="W25" s="45"/>
      <c r="X25" s="45"/>
      <c r="Y25" s="45"/>
      <c r="Z25" s="45"/>
    </row>
    <row r="26" spans="2:26" x14ac:dyDescent="0.2">
      <c r="G26" s="40"/>
      <c r="L26" s="45"/>
      <c r="M26" s="29" t="str">
        <f>IF(AVERAGE(Calculations!G7:G16)=1,"Warning:",IF(AND(Calculations!G18=2,F4&lt;&gt;G16),"Warning:",""))</f>
        <v/>
      </c>
      <c r="N26" s="45"/>
      <c r="O26" s="45"/>
      <c r="P26" s="45"/>
      <c r="Q26" s="45"/>
      <c r="R26" s="45"/>
      <c r="S26" s="45"/>
      <c r="T26" s="45"/>
      <c r="U26" s="45"/>
      <c r="V26" s="45"/>
      <c r="W26" s="45"/>
      <c r="X26" s="45"/>
      <c r="Y26" s="45"/>
      <c r="Z26" s="45"/>
    </row>
    <row r="27" spans="2:26" x14ac:dyDescent="0.2">
      <c r="G27" s="44"/>
      <c r="L27" s="45"/>
      <c r="M27" s="29" t="str">
        <f>IF(AVERAGE(Calculations!G7:G16)=1,"The cut-off frequency could not be determined, because the entire audiogram is above or on the threshold level.",IF(AND(Calculations!G18=2,F4&lt;&gt;G16),"The cut-off frequency could not be determined, because it was lower than 125 Hz.",""))</f>
        <v/>
      </c>
      <c r="N27" s="45"/>
      <c r="O27" s="45"/>
      <c r="P27" s="45"/>
      <c r="Q27" s="45"/>
      <c r="R27" s="45"/>
      <c r="S27" s="45"/>
      <c r="T27" s="45"/>
      <c r="U27" s="45"/>
      <c r="V27" s="45"/>
      <c r="W27" s="45"/>
      <c r="X27" s="45"/>
      <c r="Y27" s="45"/>
      <c r="Z27" s="45"/>
    </row>
    <row r="28" spans="2:26" x14ac:dyDescent="0.2">
      <c r="C28" s="22"/>
      <c r="D28" s="22"/>
      <c r="E28" s="22"/>
      <c r="F28" s="22"/>
      <c r="I28" s="22"/>
      <c r="L28" s="45"/>
      <c r="M28" s="29" t="str">
        <f>IF(AVERAGE(Calculations!G7:G16)=1,"Calculations will be performed with the cut-off frequency at the last inserted value of the audiogram.",IF(AND(Calculations!G18=2,F4&lt;&gt;G16),"Calculations will be performed with a cut-off frequency of 125 Hz.",""))</f>
        <v/>
      </c>
      <c r="N28" s="45"/>
      <c r="O28" s="45"/>
      <c r="P28" s="45"/>
      <c r="Q28" s="45"/>
      <c r="R28" s="45"/>
      <c r="S28" s="45"/>
      <c r="T28" s="45"/>
      <c r="U28" s="45"/>
      <c r="V28" s="45"/>
      <c r="W28" s="45"/>
      <c r="X28" s="45"/>
      <c r="Y28" s="45"/>
      <c r="Z28" s="45"/>
    </row>
    <row r="29" spans="2:26" x14ac:dyDescent="0.2">
      <c r="C29" s="22"/>
      <c r="D29" s="22"/>
      <c r="E29" s="22"/>
      <c r="F29" s="22"/>
      <c r="L29" s="45"/>
      <c r="M29" s="45"/>
      <c r="N29" s="45"/>
      <c r="O29" s="45"/>
      <c r="P29" s="45"/>
      <c r="Q29" s="45"/>
      <c r="R29" s="45"/>
      <c r="S29" s="45"/>
      <c r="T29" s="45"/>
      <c r="U29" s="45"/>
      <c r="V29" s="45"/>
      <c r="W29" s="45"/>
      <c r="X29" s="45"/>
      <c r="Y29" s="45"/>
      <c r="Z29" s="45"/>
    </row>
    <row r="30" spans="2:26" x14ac:dyDescent="0.2">
      <c r="G30" s="23"/>
      <c r="L30" s="45"/>
      <c r="M30" s="45"/>
      <c r="N30" s="45"/>
      <c r="O30" s="45"/>
      <c r="P30" s="45"/>
      <c r="Q30" s="45"/>
      <c r="R30" s="45"/>
      <c r="S30" s="45"/>
      <c r="T30" s="45"/>
      <c r="U30" s="45"/>
      <c r="V30" s="45"/>
      <c r="W30" s="45"/>
      <c r="X30" s="45"/>
      <c r="Y30" s="45"/>
      <c r="Z30" s="45"/>
    </row>
    <row r="31" spans="2:26" x14ac:dyDescent="0.2">
      <c r="F31" s="24"/>
      <c r="G31" s="23"/>
      <c r="L31" s="45"/>
      <c r="M31" s="45"/>
      <c r="N31" s="45"/>
      <c r="O31" s="45"/>
      <c r="P31" s="45"/>
      <c r="Q31" s="45"/>
      <c r="R31" s="45"/>
      <c r="S31" s="45"/>
      <c r="T31" s="45"/>
      <c r="U31" s="45"/>
      <c r="V31" s="45"/>
      <c r="W31" s="45"/>
      <c r="X31" s="45"/>
      <c r="Y31" s="45"/>
      <c r="Z31" s="45"/>
    </row>
    <row r="32" spans="2:26" x14ac:dyDescent="0.2">
      <c r="G32" s="23"/>
      <c r="L32" s="45"/>
      <c r="M32" s="46"/>
      <c r="N32" s="45"/>
      <c r="O32" s="45"/>
      <c r="P32" s="45"/>
      <c r="Q32" s="45"/>
      <c r="R32" s="45"/>
      <c r="S32" s="45"/>
      <c r="T32" s="45"/>
      <c r="U32" s="45"/>
      <c r="V32" s="45"/>
      <c r="W32" s="45"/>
      <c r="X32" s="45"/>
      <c r="Y32" s="45"/>
      <c r="Z32" s="45"/>
    </row>
    <row r="33" spans="3:26" x14ac:dyDescent="0.2">
      <c r="L33" s="45"/>
      <c r="M33" s="46"/>
      <c r="N33" s="45"/>
      <c r="O33" s="45"/>
      <c r="P33" s="45"/>
      <c r="Q33" s="45"/>
      <c r="R33" s="45"/>
      <c r="S33" s="45"/>
      <c r="T33" s="45"/>
      <c r="U33" s="45"/>
      <c r="V33" s="45"/>
      <c r="W33" s="45"/>
      <c r="X33" s="45"/>
      <c r="Y33" s="45"/>
      <c r="Z33" s="45"/>
    </row>
    <row r="34" spans="3:26" x14ac:dyDescent="0.2">
      <c r="L34" s="45"/>
      <c r="M34" s="45"/>
      <c r="N34" s="45"/>
      <c r="O34" s="45"/>
      <c r="P34" s="45"/>
      <c r="Q34" s="45"/>
      <c r="R34" s="45"/>
      <c r="S34" s="45"/>
      <c r="T34" s="45"/>
      <c r="U34" s="45"/>
      <c r="V34" s="45"/>
      <c r="W34" s="45"/>
      <c r="X34" s="45"/>
      <c r="Y34" s="45"/>
      <c r="Z34" s="45"/>
    </row>
    <row r="35" spans="3:26" x14ac:dyDescent="0.2">
      <c r="C35" s="25"/>
      <c r="F35" s="25"/>
      <c r="I35" s="22"/>
      <c r="L35" s="45"/>
      <c r="M35" s="45"/>
      <c r="N35" s="45"/>
      <c r="O35" s="45"/>
      <c r="P35" s="45"/>
      <c r="Q35" s="45"/>
      <c r="R35" s="45"/>
      <c r="S35" s="45"/>
    </row>
    <row r="36" spans="3:26" x14ac:dyDescent="0.2">
      <c r="G36" s="23"/>
      <c r="M36" s="23"/>
    </row>
    <row r="37" spans="3:26" x14ac:dyDescent="0.2">
      <c r="G37" s="23"/>
      <c r="M37" s="23"/>
    </row>
    <row r="38" spans="3:26" x14ac:dyDescent="0.2">
      <c r="G38" s="23"/>
      <c r="M38" s="23"/>
    </row>
  </sheetData>
  <conditionalFormatting sqref="G21">
    <cfRule type="expression" dxfId="1" priority="1">
      <formula>C21&lt;&gt;""</formula>
    </cfRule>
    <cfRule type="expression" dxfId="0" priority="2">
      <formula>C21=""</formula>
    </cfRule>
  </conditionalFormatting>
  <dataValidations count="3">
    <dataValidation type="list" showInputMessage="1" showErrorMessage="1" sqref="G19" xr:uid="{00000000-0002-0000-0000-000000000000}">
      <formula1>Arrays</formula1>
    </dataValidation>
    <dataValidation type="list" showInputMessage="1" showErrorMessage="1" sqref="G20" xr:uid="{00000000-0002-0000-0000-000001000000}">
      <formula1>Surgical_approach</formula1>
    </dataValidation>
    <dataValidation showInputMessage="1" showErrorMessage="1" sqref="G21" xr:uid="{00000000-0002-0000-00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E243"/>
  <sheetViews>
    <sheetView topLeftCell="A16" zoomScaleNormal="100" workbookViewId="0">
      <selection activeCell="G48" sqref="G48"/>
    </sheetView>
  </sheetViews>
  <sheetFormatPr baseColWidth="10" defaultColWidth="8.83203125" defaultRowHeight="15" x14ac:dyDescent="0.2"/>
  <cols>
    <col min="1" max="1" width="2.1640625" style="20" customWidth="1"/>
    <col min="6" max="6" width="12.6640625" customWidth="1"/>
    <col min="8" max="8" width="17.83203125" customWidth="1"/>
    <col min="9" max="9" width="21" customWidth="1"/>
    <col min="10" max="10" width="1.83203125" customWidth="1"/>
    <col min="11" max="11" width="2.5" customWidth="1"/>
    <col min="13" max="13" width="15.33203125" customWidth="1"/>
    <col min="14" max="14" width="46.6640625" customWidth="1"/>
    <col min="15" max="15" width="34" customWidth="1"/>
    <col min="16" max="16" width="20.33203125" customWidth="1"/>
    <col min="17" max="17" width="18.6640625" customWidth="1"/>
    <col min="18" max="18" width="9.1640625" customWidth="1"/>
    <col min="23" max="23" width="4.83203125" customWidth="1"/>
    <col min="24" max="24" width="2.1640625" customWidth="1"/>
    <col min="28" max="57" width="9.1640625" style="45"/>
  </cols>
  <sheetData>
    <row r="1" spans="2:57" s="20" customFormat="1" x14ac:dyDescent="0.2">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row>
    <row r="2" spans="2:57" x14ac:dyDescent="0.2">
      <c r="B2" s="13" t="s">
        <v>33</v>
      </c>
      <c r="C2" s="14"/>
      <c r="D2" s="14"/>
      <c r="E2" s="14"/>
      <c r="F2" s="14"/>
      <c r="G2" s="14"/>
      <c r="H2" s="14"/>
      <c r="I2" s="14"/>
      <c r="J2" s="14"/>
      <c r="K2" s="14"/>
      <c r="L2" s="14"/>
      <c r="M2" s="14"/>
      <c r="N2" s="14"/>
      <c r="O2" s="1"/>
      <c r="P2" s="20"/>
      <c r="Q2" s="20"/>
      <c r="R2" s="20"/>
      <c r="S2" s="20"/>
      <c r="T2" s="20"/>
      <c r="U2" s="20"/>
      <c r="V2" s="20"/>
      <c r="W2" s="20"/>
      <c r="X2" s="20"/>
      <c r="Y2" s="20"/>
      <c r="Z2" s="20"/>
      <c r="AA2" s="20"/>
    </row>
    <row r="3" spans="2:57" x14ac:dyDescent="0.2">
      <c r="B3" s="47"/>
      <c r="C3" s="2"/>
      <c r="D3" s="2"/>
      <c r="E3" s="2"/>
      <c r="F3" s="2" t="s">
        <v>42</v>
      </c>
      <c r="G3" s="2"/>
      <c r="H3" s="2"/>
      <c r="I3" s="2"/>
      <c r="J3" s="2"/>
      <c r="K3" s="2"/>
      <c r="L3" s="2"/>
      <c r="M3" s="2"/>
      <c r="N3" s="2"/>
      <c r="O3" s="4"/>
      <c r="P3" s="20"/>
      <c r="Q3" s="20"/>
      <c r="R3" s="20"/>
      <c r="S3" s="20"/>
      <c r="T3" s="20"/>
      <c r="U3" s="20"/>
      <c r="V3" s="20"/>
      <c r="W3" s="20"/>
      <c r="X3" s="20"/>
      <c r="Y3" s="20"/>
      <c r="Z3" s="20"/>
      <c r="AA3" s="20"/>
    </row>
    <row r="4" spans="2:57" x14ac:dyDescent="0.2">
      <c r="B4" s="10" t="s">
        <v>19</v>
      </c>
      <c r="C4" s="11"/>
      <c r="D4" s="11"/>
      <c r="E4" s="11"/>
      <c r="F4" s="2" t="s">
        <v>41</v>
      </c>
      <c r="G4" s="2"/>
      <c r="H4" s="2"/>
      <c r="I4" s="2"/>
      <c r="J4" s="2"/>
      <c r="K4" s="2"/>
      <c r="L4" s="2"/>
      <c r="M4" s="2"/>
      <c r="N4" s="2"/>
      <c r="O4" s="4"/>
      <c r="P4" s="20"/>
      <c r="Q4" s="20"/>
      <c r="R4" s="20"/>
      <c r="S4" s="20"/>
      <c r="T4" s="20"/>
      <c r="U4" s="20"/>
      <c r="V4" s="20"/>
      <c r="W4" s="20"/>
      <c r="X4" s="20"/>
      <c r="Y4" s="20"/>
      <c r="Z4" s="20"/>
      <c r="AA4" s="20"/>
    </row>
    <row r="5" spans="2:57" x14ac:dyDescent="0.2">
      <c r="B5" s="12" t="s">
        <v>6</v>
      </c>
      <c r="C5" s="11"/>
      <c r="D5" s="11" t="s">
        <v>5</v>
      </c>
      <c r="E5" s="11"/>
      <c r="F5" s="48" t="s">
        <v>40</v>
      </c>
      <c r="G5" s="48" t="s">
        <v>38</v>
      </c>
      <c r="H5" s="48" t="s">
        <v>43</v>
      </c>
      <c r="I5" s="2"/>
      <c r="J5" s="2"/>
      <c r="K5" s="2"/>
      <c r="L5" s="2"/>
      <c r="M5" s="2"/>
      <c r="N5" s="2"/>
      <c r="O5" s="4"/>
      <c r="P5" s="20"/>
      <c r="Q5" s="20"/>
      <c r="R5" s="20"/>
      <c r="S5" s="20"/>
      <c r="T5" s="20"/>
      <c r="U5" s="20"/>
      <c r="V5" s="20"/>
      <c r="W5" s="20"/>
      <c r="X5" s="20"/>
      <c r="Y5" s="20"/>
      <c r="Z5" s="20"/>
      <c r="AA5" s="20"/>
    </row>
    <row r="6" spans="2:57" x14ac:dyDescent="0.2">
      <c r="B6" s="12">
        <v>125</v>
      </c>
      <c r="C6" s="11"/>
      <c r="D6" s="11">
        <v>0</v>
      </c>
      <c r="E6" s="11"/>
      <c r="F6" s="2">
        <v>1</v>
      </c>
      <c r="G6" s="2"/>
      <c r="H6" s="2"/>
      <c r="I6" s="2"/>
      <c r="J6" s="2"/>
      <c r="K6" s="2"/>
      <c r="L6" s="2"/>
      <c r="M6" s="2"/>
      <c r="N6" s="2"/>
      <c r="O6" s="4"/>
      <c r="P6" s="20"/>
      <c r="Q6" s="20"/>
      <c r="R6" s="20"/>
      <c r="S6" s="20"/>
      <c r="T6" s="20"/>
      <c r="U6" s="20"/>
      <c r="V6" s="20"/>
      <c r="W6" s="20"/>
      <c r="X6" s="20"/>
      <c r="Y6" s="20"/>
      <c r="Z6" s="20"/>
      <c r="AA6" s="20"/>
    </row>
    <row r="7" spans="2:57" x14ac:dyDescent="0.2">
      <c r="B7" s="12">
        <f>Input!D4</f>
        <v>125</v>
      </c>
      <c r="C7" s="11"/>
      <c r="D7" s="11">
        <f>Input!F4</f>
        <v>40</v>
      </c>
      <c r="E7" s="11"/>
      <c r="F7" s="2">
        <f>IF(AND(D7&lt;=Input!$G$16,D6&lt;=Input!$G$16,F6&gt;0),2,IF(AND(D7&gt;Input!$G$16,D6&lt;=Input!$G$16,F6&gt;0),2,0))</f>
        <v>2</v>
      </c>
      <c r="G7" s="2">
        <f>IF(D7&lt;=Input!$G$16,1,0)</f>
        <v>1</v>
      </c>
      <c r="H7" s="2">
        <f>IF(ISBLANK(Input!F4),0,2)</f>
        <v>2</v>
      </c>
      <c r="I7" s="2"/>
      <c r="J7" s="2"/>
      <c r="K7" s="2"/>
      <c r="L7" s="2"/>
      <c r="M7" s="2"/>
      <c r="N7" s="2"/>
      <c r="O7" s="4"/>
      <c r="P7" s="20"/>
      <c r="Q7" s="20"/>
      <c r="R7" s="20"/>
      <c r="S7" s="20"/>
      <c r="T7" s="20"/>
      <c r="U7" s="20"/>
      <c r="V7" s="20"/>
      <c r="W7" s="20"/>
      <c r="X7" s="20"/>
      <c r="Y7" s="20"/>
      <c r="Z7" s="20"/>
      <c r="AA7" s="20"/>
    </row>
    <row r="8" spans="2:57" x14ac:dyDescent="0.2">
      <c r="B8" s="12">
        <f>Input!D5</f>
        <v>250</v>
      </c>
      <c r="C8" s="11"/>
      <c r="D8" s="11">
        <f>IF(ISBLANK(Input!F5),Input!F4+(Input!D5-Input!D4)*(Input!F6-Input!F4)/(Input!D6-Input!D4),Input!F5)</f>
        <v>60</v>
      </c>
      <c r="E8" s="11"/>
      <c r="F8" s="2">
        <f>IF(AND(D8&lt;=Input!$G$16,D7&lt;=Input!$G$16,F7&gt;0),3,IF(AND(D8&gt;Input!$G$16,D7&lt;=Input!$G$16,F7&gt;0),3,0))</f>
        <v>3</v>
      </c>
      <c r="G8" s="2">
        <f>IF(D8&lt;=Input!$G$16,1,0)</f>
        <v>1</v>
      </c>
      <c r="H8" s="2">
        <f>IF(ISBLANK(Input!F5),0,3)</f>
        <v>3</v>
      </c>
      <c r="I8" s="2"/>
      <c r="J8" s="2"/>
      <c r="K8" s="2"/>
      <c r="L8" s="2"/>
      <c r="M8" s="2"/>
      <c r="N8" s="2"/>
      <c r="O8" s="4"/>
      <c r="P8" s="20"/>
      <c r="Q8" s="20"/>
      <c r="R8" s="20"/>
      <c r="S8" s="20"/>
      <c r="T8" s="20"/>
      <c r="U8" s="20"/>
      <c r="V8" s="20"/>
      <c r="W8" s="20"/>
      <c r="X8" s="20"/>
      <c r="Y8" s="20"/>
      <c r="Z8" s="20"/>
      <c r="AA8" s="20"/>
    </row>
    <row r="9" spans="2:57" x14ac:dyDescent="0.2">
      <c r="B9" s="12">
        <f>Input!D6</f>
        <v>500</v>
      </c>
      <c r="C9" s="11"/>
      <c r="D9" s="11">
        <f>IF(ISBLANK(Input!F6),Input!F5+(Input!D6-Input!D5)*(Input!F7-Input!F5)/(Input!D7-Input!D5),Input!F6)</f>
        <v>75</v>
      </c>
      <c r="E9" s="11"/>
      <c r="F9" s="2">
        <f>IF(AND(D9&lt;=Input!$G$16,D8&lt;=Input!$G$16,F8&gt;0),4,IF(AND(D9&gt;Input!$G$16,D8&lt;=Input!$G$16,F8&gt;0),4,0))</f>
        <v>4</v>
      </c>
      <c r="G9" s="2">
        <f>IF(D9&lt;=Input!$G$16,1,0)</f>
        <v>0</v>
      </c>
      <c r="H9" s="2">
        <f>IF(ISBLANK(Input!F6),0,4)</f>
        <v>4</v>
      </c>
      <c r="I9" s="2"/>
      <c r="J9" s="2"/>
      <c r="K9" s="2"/>
      <c r="L9" s="2"/>
      <c r="M9" s="2"/>
      <c r="N9" s="2"/>
      <c r="O9" s="4"/>
      <c r="P9" s="20"/>
      <c r="Q9" s="20"/>
      <c r="R9" s="20"/>
      <c r="S9" s="20"/>
      <c r="T9" s="20"/>
      <c r="U9" s="20"/>
      <c r="V9" s="20"/>
      <c r="W9" s="20"/>
      <c r="X9" s="20"/>
      <c r="Y9" s="20"/>
      <c r="Z9" s="20"/>
      <c r="AA9" s="20"/>
    </row>
    <row r="10" spans="2:57" x14ac:dyDescent="0.2">
      <c r="B10" s="12">
        <f>Input!D7</f>
        <v>750</v>
      </c>
      <c r="C10" s="11"/>
      <c r="D10" s="11">
        <f>IF(ISBLANK(Input!F7),Input!F6+(Input!D7-Input!D6)*(Input!F8-Input!F6)/(Input!D8-Input!D6),Input!F7)</f>
        <v>92.5</v>
      </c>
      <c r="E10" s="11"/>
      <c r="F10" s="2">
        <f>IF(AND(D10&lt;=Input!$G$16,D9&lt;=Input!$G$16,F9&gt;0),5,IF(AND(D10&gt;Input!$G$16,D9&lt;=Input!$G$16,F9&gt;0),5,0))</f>
        <v>0</v>
      </c>
      <c r="G10" s="2">
        <f>IF(D10&lt;=Input!$G$16,1,0)</f>
        <v>0</v>
      </c>
      <c r="H10" s="2">
        <f>IF(ISBLANK(Input!F7),0,5)</f>
        <v>0</v>
      </c>
      <c r="I10" s="2"/>
      <c r="J10" s="2"/>
      <c r="K10" s="2"/>
      <c r="L10" s="2"/>
      <c r="M10" s="2"/>
      <c r="N10" s="2"/>
      <c r="O10" s="4"/>
      <c r="P10" s="20"/>
      <c r="Q10" s="20"/>
      <c r="R10" s="20"/>
      <c r="S10" s="20"/>
      <c r="T10" s="20"/>
      <c r="U10" s="20"/>
      <c r="V10" s="20"/>
      <c r="W10" s="20"/>
      <c r="X10" s="20"/>
      <c r="Y10" s="20"/>
      <c r="Z10" s="20"/>
      <c r="AA10" s="20"/>
    </row>
    <row r="11" spans="2:57" x14ac:dyDescent="0.2">
      <c r="B11" s="12">
        <f>Input!D8</f>
        <v>1000</v>
      </c>
      <c r="C11" s="11"/>
      <c r="D11" s="11">
        <f>IF(ISBLANK(Input!F8),Input!F7+(Input!D8-Input!D7)*(Input!F9-Input!F7)/(Input!D9-Input!D7),Input!F8)</f>
        <v>110</v>
      </c>
      <c r="E11" s="11"/>
      <c r="F11" s="2">
        <f>IF(AND(D11&lt;=Input!$G$16,D10&lt;=Input!$G$16,F10&gt;0),6,IF(AND(D11&gt;Input!$G$16,D10&lt;=Input!$G$16,F10&gt;0),6,0))</f>
        <v>0</v>
      </c>
      <c r="G11" s="2">
        <f>IF(D11&lt;=Input!$G$16,1,0)</f>
        <v>0</v>
      </c>
      <c r="H11" s="2">
        <f>IF(ISBLANK(Input!F8),0,6)</f>
        <v>6</v>
      </c>
      <c r="I11" s="2"/>
      <c r="J11" s="2"/>
      <c r="K11" s="2"/>
      <c r="L11" s="2"/>
      <c r="M11" s="2"/>
      <c r="N11" s="2"/>
      <c r="O11" s="4"/>
      <c r="P11" s="20"/>
      <c r="Q11" s="20"/>
      <c r="R11" s="20"/>
      <c r="S11" s="20"/>
      <c r="T11" s="20"/>
      <c r="U11" s="20"/>
      <c r="V11" s="20"/>
      <c r="W11" s="20"/>
      <c r="X11" s="20"/>
      <c r="Y11" s="20"/>
      <c r="Z11" s="20"/>
      <c r="AA11" s="20"/>
    </row>
    <row r="12" spans="2:57" x14ac:dyDescent="0.2">
      <c r="B12" s="12">
        <f>Input!D9</f>
        <v>1500</v>
      </c>
      <c r="C12" s="11"/>
      <c r="D12" s="11">
        <f>IF(ISBLANK(Input!F9),Input!F8+(Input!D9-Input!D8)*(Input!F10-Input!F8)/(Input!D10-Input!D8),Input!F9)</f>
        <v>115</v>
      </c>
      <c r="E12" s="11"/>
      <c r="F12" s="2">
        <f>IF(AND(D12&lt;=Input!$G$16,D11&lt;=Input!$G$16,F11&gt;0),7,IF(AND(D12&gt;Input!$G$16,D11&lt;=Input!$G$16,F11&gt;0),7,0))</f>
        <v>0</v>
      </c>
      <c r="G12" s="2">
        <f>IF(D12&lt;=Input!$G$16,1,0)</f>
        <v>0</v>
      </c>
      <c r="H12" s="2">
        <f>IF(ISBLANK(Input!F9),0,7)</f>
        <v>0</v>
      </c>
      <c r="I12" s="2"/>
      <c r="J12" s="2"/>
      <c r="K12" s="2"/>
      <c r="L12" s="2"/>
      <c r="M12" s="2"/>
      <c r="N12" s="2"/>
      <c r="O12" s="4"/>
      <c r="P12" s="20"/>
      <c r="Q12" s="20"/>
      <c r="R12" s="20"/>
      <c r="S12" s="20"/>
      <c r="T12" s="20"/>
      <c r="U12" s="20"/>
      <c r="V12" s="20"/>
      <c r="W12" s="20"/>
      <c r="X12" s="20"/>
      <c r="Y12" s="20"/>
      <c r="Z12" s="20"/>
      <c r="AA12" s="20"/>
    </row>
    <row r="13" spans="2:57" x14ac:dyDescent="0.2">
      <c r="B13" s="12">
        <f>Input!D10</f>
        <v>2000</v>
      </c>
      <c r="C13" s="11"/>
      <c r="D13" s="11">
        <f>IF(ISBLANK(Input!F10),Input!F9+(Input!D10-Input!D9)*(Input!F11-Input!F9)/(Input!D11-Input!D9),Input!F10)</f>
        <v>120</v>
      </c>
      <c r="E13" s="11"/>
      <c r="F13" s="2">
        <f>IF(AND(D13&lt;=Input!$G$16,D12&lt;=Input!$G$16,F12&gt;0),8,IF(AND(D13&gt;Input!$G$16,D12&lt;=Input!$G$16,F12&gt;0),8,0))</f>
        <v>0</v>
      </c>
      <c r="G13" s="2">
        <f>IF(D13&lt;=Input!$G$16,1,0)</f>
        <v>0</v>
      </c>
      <c r="H13" s="2">
        <f>IF(ISBLANK(Input!F10),0,8)</f>
        <v>8</v>
      </c>
      <c r="I13" s="2"/>
      <c r="J13" s="2"/>
      <c r="K13" s="2"/>
      <c r="L13" s="2"/>
      <c r="M13" s="2"/>
      <c r="N13" s="2"/>
      <c r="O13" s="4"/>
      <c r="P13" s="20"/>
      <c r="Q13" s="20"/>
      <c r="R13" s="20"/>
      <c r="S13" s="20"/>
      <c r="T13" s="20"/>
      <c r="U13" s="20"/>
      <c r="V13" s="20"/>
      <c r="W13" s="20"/>
      <c r="X13" s="20"/>
      <c r="Y13" s="20"/>
      <c r="Z13" s="20"/>
      <c r="AA13" s="20"/>
    </row>
    <row r="14" spans="2:57" x14ac:dyDescent="0.2">
      <c r="B14" s="12">
        <f>Input!D11</f>
        <v>4000</v>
      </c>
      <c r="C14" s="11"/>
      <c r="D14" s="11">
        <f>IF(ISBLANK(Input!F11),Input!F10+(Input!D11-Input!D10)*(Input!F12-Input!F10)/(Input!D12-Input!D10),Input!F11)</f>
        <v>105</v>
      </c>
      <c r="E14" s="11"/>
      <c r="F14" s="2">
        <f>IF(AND(D14&lt;=Input!$G$16,D13&lt;=Input!$G$16,F13&gt;0),9,IF(AND(D14&gt;Input!$G$16,D13&lt;=Input!$G$16,F13&gt;0),9,0))</f>
        <v>0</v>
      </c>
      <c r="G14" s="2">
        <f>IF(D14&lt;=Input!$G$16,1,0)</f>
        <v>0</v>
      </c>
      <c r="H14" s="2">
        <f>IF(ISBLANK(Input!F11),0,9)</f>
        <v>9</v>
      </c>
      <c r="I14" s="2"/>
      <c r="J14" s="2"/>
      <c r="K14" s="2"/>
      <c r="L14" s="2"/>
      <c r="M14" s="2"/>
      <c r="N14" s="2"/>
      <c r="O14" s="4"/>
      <c r="P14" s="20"/>
      <c r="Q14" s="20"/>
      <c r="R14" s="20"/>
      <c r="S14" s="20"/>
      <c r="T14" s="20"/>
      <c r="U14" s="20"/>
      <c r="V14" s="20"/>
      <c r="W14" s="20"/>
      <c r="X14" s="20"/>
      <c r="Y14" s="20"/>
      <c r="Z14" s="20"/>
      <c r="AA14" s="20"/>
    </row>
    <row r="15" spans="2:57" x14ac:dyDescent="0.2">
      <c r="B15" s="12">
        <f>Input!D12</f>
        <v>6000</v>
      </c>
      <c r="C15" s="11"/>
      <c r="D15" s="11">
        <f>IF(ISBLANK(Input!F12),Input!F11+(Input!D12-Input!D11)*(Input!F13-Input!F11)/(Input!D13-Input!D11),Input!F12)</f>
        <v>52.5</v>
      </c>
      <c r="E15" s="11"/>
      <c r="F15" s="2">
        <f>IF(AND(D15&lt;=Input!$G$16,D14&lt;=Input!$G$16,F14&gt;0),10,IF(AND(D15&gt;Input!$G$16,D14&lt;=Input!$G$16,F14&gt;0),10,0))</f>
        <v>0</v>
      </c>
      <c r="G15" s="2">
        <f>IF(D15&lt;=Input!$G$16,1,0)</f>
        <v>1</v>
      </c>
      <c r="H15" s="2">
        <f>IF(ISBLANK(Input!F12),0,10)</f>
        <v>0</v>
      </c>
      <c r="I15" s="2"/>
      <c r="J15" s="2"/>
      <c r="K15" s="2"/>
      <c r="L15" s="2"/>
      <c r="M15" s="2"/>
      <c r="N15" s="2"/>
      <c r="O15" s="4"/>
      <c r="P15" s="20"/>
      <c r="Q15" s="20"/>
      <c r="R15" s="20"/>
      <c r="S15" s="20"/>
      <c r="T15" s="20"/>
      <c r="U15" s="20"/>
      <c r="V15" s="20"/>
      <c r="W15" s="20"/>
      <c r="X15" s="20"/>
      <c r="Y15" s="20"/>
      <c r="Z15" s="20"/>
      <c r="AA15" s="20"/>
    </row>
    <row r="16" spans="2:57" x14ac:dyDescent="0.2">
      <c r="B16" s="12">
        <f>Input!D13</f>
        <v>8000</v>
      </c>
      <c r="C16" s="11"/>
      <c r="D16" s="11">
        <f>Input!F13</f>
        <v>0</v>
      </c>
      <c r="E16" s="11"/>
      <c r="F16" s="2">
        <f>IF(AND(D16&lt;=Input!$G$16,D15&lt;=Input!$G$16,F15&gt;0),11,IF(AND(D16&gt;Input!$G$16,D15&lt;=Input!$G$16,F15&gt;0),11,0))</f>
        <v>0</v>
      </c>
      <c r="G16" s="2">
        <f>IF(D16&lt;=Input!$G$16,1,0)</f>
        <v>1</v>
      </c>
      <c r="H16" s="2">
        <f>IF(ISBLANK(Input!F13),0,11)</f>
        <v>0</v>
      </c>
      <c r="I16" s="2"/>
      <c r="J16" s="2"/>
      <c r="K16" s="2"/>
      <c r="L16" s="2"/>
      <c r="M16" s="2"/>
      <c r="N16" s="2"/>
      <c r="O16" s="4"/>
      <c r="P16" s="20"/>
      <c r="Q16" s="20"/>
      <c r="R16" s="20"/>
      <c r="S16" s="20"/>
      <c r="T16" s="20"/>
      <c r="U16" s="20"/>
      <c r="V16" s="20"/>
      <c r="W16" s="20"/>
      <c r="X16" s="20"/>
      <c r="Y16" s="20"/>
      <c r="Z16" s="20"/>
      <c r="AA16" s="20"/>
    </row>
    <row r="17" spans="2:57" x14ac:dyDescent="0.2">
      <c r="B17" s="3"/>
      <c r="C17" s="2"/>
      <c r="D17" s="2"/>
      <c r="E17" s="2"/>
      <c r="F17" s="2"/>
      <c r="G17" s="2"/>
      <c r="H17" s="2"/>
      <c r="I17" s="2"/>
      <c r="J17" s="2"/>
      <c r="K17" s="2"/>
      <c r="L17" s="2"/>
      <c r="M17" s="2"/>
      <c r="N17" s="2"/>
      <c r="O17" s="4"/>
      <c r="P17" s="20"/>
      <c r="Q17" s="20"/>
      <c r="R17" s="20"/>
      <c r="S17" s="20"/>
      <c r="T17" s="20"/>
      <c r="U17" s="20"/>
      <c r="V17" s="20"/>
      <c r="W17" s="20"/>
      <c r="X17" s="20"/>
      <c r="Y17" s="20"/>
      <c r="Z17" s="20"/>
      <c r="AA17" s="20"/>
    </row>
    <row r="18" spans="2:57" x14ac:dyDescent="0.2">
      <c r="B18" s="3"/>
      <c r="C18" s="2"/>
      <c r="D18" s="2"/>
      <c r="E18" s="2"/>
      <c r="F18" s="2" t="s">
        <v>39</v>
      </c>
      <c r="G18" s="2">
        <f>MAX(F6:F16)</f>
        <v>4</v>
      </c>
      <c r="H18" s="2">
        <f>MAX(H6:H16)</f>
        <v>9</v>
      </c>
      <c r="I18" s="2"/>
      <c r="J18" s="2"/>
      <c r="K18" s="2"/>
      <c r="L18" s="2"/>
      <c r="M18" s="2"/>
      <c r="N18" s="2"/>
      <c r="O18" s="4"/>
      <c r="P18" s="20"/>
      <c r="Q18" s="20"/>
      <c r="R18" s="20"/>
      <c r="S18" s="20"/>
      <c r="T18" s="20"/>
      <c r="U18" s="20"/>
      <c r="V18" s="20"/>
      <c r="W18" s="20"/>
      <c r="X18" s="20"/>
      <c r="Y18" s="20"/>
      <c r="Z18" s="20"/>
      <c r="AA18" s="20"/>
    </row>
    <row r="19" spans="2:57" x14ac:dyDescent="0.2">
      <c r="B19" s="3"/>
      <c r="C19" s="2"/>
      <c r="D19" s="2"/>
      <c r="E19" s="2"/>
      <c r="F19" s="2"/>
      <c r="G19" s="2"/>
      <c r="H19" s="2"/>
      <c r="I19" s="2"/>
      <c r="J19" s="2"/>
      <c r="K19" s="2"/>
      <c r="L19" s="2"/>
      <c r="M19" s="2"/>
      <c r="N19" s="2"/>
      <c r="O19" s="4"/>
      <c r="P19" s="20"/>
      <c r="Q19" s="20"/>
      <c r="R19" s="20"/>
      <c r="S19" s="20"/>
      <c r="T19" s="20"/>
      <c r="U19" s="20"/>
      <c r="V19" s="20"/>
      <c r="W19" s="20"/>
      <c r="X19" s="20"/>
      <c r="Y19" s="20"/>
      <c r="Z19" s="20"/>
      <c r="AA19" s="20"/>
    </row>
    <row r="20" spans="2:57" x14ac:dyDescent="0.2">
      <c r="B20" s="3"/>
      <c r="C20" s="2"/>
      <c r="D20" s="2"/>
      <c r="E20" s="2"/>
      <c r="F20" s="2" t="s">
        <v>18</v>
      </c>
      <c r="G20" s="2"/>
      <c r="H20" s="2"/>
      <c r="I20" s="2"/>
      <c r="J20" s="2"/>
      <c r="K20" s="2"/>
      <c r="L20" s="2"/>
      <c r="M20" s="2"/>
      <c r="N20" s="2"/>
      <c r="O20" s="4"/>
      <c r="P20" s="20"/>
      <c r="Q20" s="20"/>
      <c r="R20" s="20"/>
      <c r="S20" s="20"/>
      <c r="T20" s="20"/>
      <c r="U20" s="20"/>
      <c r="V20" s="20"/>
      <c r="W20" s="20"/>
      <c r="X20" s="20"/>
      <c r="Y20" s="20"/>
      <c r="Z20" s="20"/>
      <c r="AA20" s="20"/>
    </row>
    <row r="21" spans="2:57" x14ac:dyDescent="0.2">
      <c r="B21" s="3"/>
      <c r="C21" s="2"/>
      <c r="D21" s="2"/>
      <c r="E21" s="2"/>
      <c r="F21" s="2" t="s">
        <v>1</v>
      </c>
      <c r="G21" s="2">
        <f>INDEX(B6:B16,G18-1)</f>
        <v>250</v>
      </c>
      <c r="H21" s="2"/>
      <c r="I21" s="2"/>
      <c r="J21" s="2"/>
      <c r="K21" s="2"/>
      <c r="L21" s="2"/>
      <c r="M21" s="2"/>
      <c r="N21" s="2"/>
      <c r="O21" s="4"/>
      <c r="P21" s="20"/>
      <c r="Q21" s="20"/>
      <c r="R21" s="20"/>
      <c r="S21" s="20"/>
      <c r="T21" s="20"/>
      <c r="U21" s="20"/>
      <c r="V21" s="20"/>
      <c r="W21" s="20"/>
      <c r="X21" s="20"/>
      <c r="Y21" s="20"/>
      <c r="Z21" s="20"/>
      <c r="AA21" s="20"/>
    </row>
    <row r="22" spans="2:57" x14ac:dyDescent="0.2">
      <c r="B22" s="19" t="s">
        <v>34</v>
      </c>
      <c r="C22" s="9"/>
      <c r="D22" s="9"/>
      <c r="E22" s="2"/>
      <c r="F22" s="2" t="s">
        <v>3</v>
      </c>
      <c r="G22" s="2">
        <f>INDEX(D6:D16,G18-1)</f>
        <v>60</v>
      </c>
      <c r="H22" s="2"/>
      <c r="I22" s="2"/>
      <c r="J22" s="2"/>
      <c r="K22" s="2"/>
      <c r="L22" s="2"/>
      <c r="M22" s="2"/>
      <c r="N22" s="2"/>
      <c r="O22" s="4"/>
      <c r="P22" s="20"/>
      <c r="Q22" s="20"/>
      <c r="R22" s="20"/>
      <c r="S22" s="20"/>
      <c r="T22" s="20"/>
      <c r="U22" s="20"/>
      <c r="V22" s="20"/>
      <c r="W22" s="20"/>
      <c r="X22" s="20"/>
      <c r="Y22" s="20"/>
      <c r="Z22" s="20"/>
      <c r="AA22" s="20"/>
    </row>
    <row r="23" spans="2:57" x14ac:dyDescent="0.2">
      <c r="B23" s="28">
        <f>IF(AND(G22=G24,G18&lt;=H18),G23,IF(AVERAGE(G7:G16)=1,INDEX(B6:B16,H18),x_1+(Input!$G$16-y_1)*(x_2-x_1)/(y_2-y_1)))</f>
        <v>333.33333333333331</v>
      </c>
      <c r="C23" s="9"/>
      <c r="D23" s="9"/>
      <c r="E23" s="2"/>
      <c r="F23" s="2" t="s">
        <v>2</v>
      </c>
      <c r="G23" s="2">
        <f>INDEX(B6:B16,G18)</f>
        <v>500</v>
      </c>
      <c r="H23" s="2"/>
      <c r="I23" s="2"/>
      <c r="J23" s="2"/>
      <c r="K23" s="2"/>
      <c r="L23" s="2"/>
      <c r="M23" s="2"/>
      <c r="N23" s="2"/>
      <c r="O23" s="4"/>
      <c r="P23" s="20"/>
      <c r="Q23" s="20"/>
      <c r="R23" s="20"/>
      <c r="S23" s="20"/>
      <c r="T23" s="20"/>
      <c r="U23" s="20"/>
      <c r="V23" s="20"/>
      <c r="W23" s="20"/>
      <c r="X23" s="20"/>
      <c r="Y23" s="20"/>
      <c r="Z23" s="20"/>
      <c r="AA23" s="20"/>
    </row>
    <row r="24" spans="2:57" x14ac:dyDescent="0.2">
      <c r="B24" s="3"/>
      <c r="C24" s="2"/>
      <c r="D24" s="2"/>
      <c r="E24" s="2"/>
      <c r="F24" s="2" t="s">
        <v>4</v>
      </c>
      <c r="G24" s="2">
        <f>INDEX(D6:D16,G18)</f>
        <v>75</v>
      </c>
      <c r="H24" s="2"/>
      <c r="I24" s="2"/>
      <c r="J24" s="2"/>
      <c r="K24" s="2"/>
      <c r="L24" s="2"/>
      <c r="M24" s="2"/>
      <c r="N24" s="2"/>
      <c r="O24" s="4"/>
      <c r="P24" s="20"/>
      <c r="Q24" s="20"/>
      <c r="R24" s="20"/>
      <c r="S24" s="20"/>
      <c r="T24" s="20"/>
      <c r="U24" s="20"/>
      <c r="V24" s="20"/>
      <c r="W24" s="20"/>
      <c r="X24" s="20"/>
      <c r="Y24" s="20"/>
      <c r="Z24" s="20"/>
      <c r="AA24" s="20"/>
    </row>
    <row r="25" spans="2:57" x14ac:dyDescent="0.2">
      <c r="B25" s="3"/>
      <c r="C25" s="2"/>
      <c r="D25" s="2"/>
      <c r="E25" s="2"/>
      <c r="F25" s="2"/>
      <c r="G25" s="2"/>
      <c r="H25" s="2"/>
      <c r="I25" s="2"/>
      <c r="J25" s="2"/>
      <c r="K25" s="2"/>
      <c r="L25" s="2"/>
      <c r="M25" s="2"/>
      <c r="N25" s="2"/>
      <c r="O25" s="4"/>
      <c r="P25" s="20"/>
      <c r="Q25" s="20"/>
      <c r="R25" s="20"/>
      <c r="S25" s="20"/>
      <c r="T25" s="20"/>
      <c r="U25" s="20"/>
      <c r="V25" s="20"/>
      <c r="W25" s="20"/>
      <c r="X25" s="20"/>
      <c r="Y25" s="20"/>
      <c r="Z25" s="20"/>
      <c r="AA25" s="20"/>
    </row>
    <row r="26" spans="2:57" x14ac:dyDescent="0.2">
      <c r="B26" s="3"/>
      <c r="C26" s="2"/>
      <c r="D26" s="2"/>
      <c r="E26" s="2"/>
      <c r="F26" s="2"/>
      <c r="G26" s="2"/>
      <c r="H26" s="2"/>
      <c r="I26" s="2"/>
      <c r="J26" s="2"/>
      <c r="K26" s="2"/>
      <c r="L26" s="2"/>
      <c r="M26" s="2"/>
      <c r="N26" s="2"/>
      <c r="O26" s="4"/>
      <c r="P26" s="20"/>
      <c r="Q26" s="20"/>
      <c r="R26" s="20"/>
      <c r="S26" s="20"/>
      <c r="T26" s="20"/>
      <c r="U26" s="20"/>
      <c r="V26" s="20"/>
      <c r="W26" s="20"/>
      <c r="X26" s="20"/>
      <c r="Y26" s="20"/>
      <c r="Z26" s="20"/>
      <c r="AA26" s="20"/>
    </row>
    <row r="27" spans="2:57" x14ac:dyDescent="0.2">
      <c r="B27" s="5"/>
      <c r="C27" s="7"/>
      <c r="D27" s="7"/>
      <c r="E27" s="7"/>
      <c r="F27" s="7"/>
      <c r="G27" s="7"/>
      <c r="H27" s="7"/>
      <c r="I27" s="7"/>
      <c r="J27" s="7"/>
      <c r="K27" s="7"/>
      <c r="L27" s="7"/>
      <c r="M27" s="7"/>
      <c r="N27" s="7"/>
      <c r="O27" s="8"/>
      <c r="P27" s="20"/>
      <c r="Q27" s="20"/>
      <c r="R27" s="20"/>
      <c r="S27" s="20"/>
      <c r="T27" s="20"/>
      <c r="U27" s="20"/>
      <c r="V27" s="20"/>
      <c r="W27" s="20"/>
      <c r="X27" s="20"/>
      <c r="Y27" s="20"/>
      <c r="Z27" s="20"/>
      <c r="AA27" s="20"/>
    </row>
    <row r="28" spans="2:57" s="20" customFormat="1" x14ac:dyDescent="0.2">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row>
    <row r="29" spans="2:57" x14ac:dyDescent="0.2">
      <c r="B29" s="13" t="s">
        <v>31</v>
      </c>
      <c r="C29" s="14"/>
      <c r="D29" s="14"/>
      <c r="E29" s="14"/>
      <c r="F29" s="14"/>
      <c r="G29" s="14"/>
      <c r="H29" s="1"/>
      <c r="I29" s="20"/>
      <c r="J29" s="20"/>
      <c r="K29" s="20"/>
      <c r="L29" s="20"/>
      <c r="M29" s="22"/>
      <c r="N29" s="20"/>
      <c r="O29" s="20"/>
      <c r="P29" s="20"/>
      <c r="Q29" s="26"/>
      <c r="R29" s="20"/>
      <c r="S29" s="20"/>
      <c r="T29" s="20"/>
      <c r="U29" s="20"/>
      <c r="V29" s="20"/>
      <c r="W29" s="20"/>
      <c r="X29" s="20"/>
      <c r="Y29" s="20"/>
      <c r="Z29" s="20"/>
      <c r="AA29" s="20"/>
    </row>
    <row r="30" spans="2:57" x14ac:dyDescent="0.2">
      <c r="B30" s="41" t="s">
        <v>29</v>
      </c>
      <c r="C30" s="6"/>
      <c r="D30" s="6"/>
      <c r="E30" s="6"/>
      <c r="F30" s="6"/>
      <c r="G30" s="6">
        <f>IF(Input!G20="Cochleostomy",Input!G21,0)</f>
        <v>0</v>
      </c>
      <c r="H30" s="4"/>
      <c r="I30" s="20"/>
      <c r="J30" s="20"/>
      <c r="K30" s="20"/>
      <c r="L30" s="20"/>
      <c r="M30" s="22"/>
      <c r="N30" s="20"/>
      <c r="O30" s="20"/>
      <c r="P30" s="20"/>
      <c r="Q30" s="20"/>
      <c r="R30" s="20"/>
      <c r="S30" s="20"/>
      <c r="T30" s="20"/>
      <c r="U30" s="20"/>
      <c r="V30" s="20"/>
      <c r="W30" s="20"/>
      <c r="X30" s="20"/>
      <c r="Y30" s="20"/>
      <c r="Z30" s="20"/>
      <c r="AA30" s="20"/>
    </row>
    <row r="31" spans="2:57" x14ac:dyDescent="0.2">
      <c r="B31" s="41" t="s">
        <v>30</v>
      </c>
      <c r="C31" s="6"/>
      <c r="D31" s="6"/>
      <c r="E31" s="6"/>
      <c r="F31" s="6"/>
      <c r="G31" s="55">
        <f>'Electrode arrays'!D13</f>
        <v>1.2</v>
      </c>
      <c r="H31" s="4"/>
      <c r="I31" s="20"/>
      <c r="J31" s="20"/>
      <c r="K31" s="20"/>
      <c r="L31" s="20"/>
      <c r="M31" s="22"/>
      <c r="N31" s="20"/>
      <c r="O31" s="20"/>
      <c r="P31" s="20"/>
      <c r="Q31" s="20"/>
      <c r="R31" s="20"/>
      <c r="S31" s="20"/>
      <c r="T31" s="20"/>
      <c r="U31" s="20"/>
      <c r="V31" s="20"/>
      <c r="W31" s="20"/>
      <c r="X31" s="20"/>
      <c r="Y31" s="20"/>
      <c r="Z31" s="20"/>
      <c r="AA31" s="20"/>
    </row>
    <row r="32" spans="2:57" x14ac:dyDescent="0.2">
      <c r="B32" s="42" t="s">
        <v>49</v>
      </c>
      <c r="C32" s="43"/>
      <c r="D32" s="43"/>
      <c r="E32" s="43"/>
      <c r="F32" s="43"/>
      <c r="G32" s="43">
        <v>24</v>
      </c>
      <c r="H32" s="8"/>
      <c r="I32" s="20"/>
      <c r="J32" s="20"/>
      <c r="K32" s="20"/>
      <c r="L32" s="20"/>
      <c r="M32" s="22"/>
      <c r="N32" s="20"/>
      <c r="O32" s="20"/>
      <c r="P32" s="20"/>
      <c r="Q32" s="20"/>
      <c r="R32" s="20"/>
      <c r="S32" s="20"/>
      <c r="T32" s="20"/>
      <c r="U32" s="20"/>
      <c r="V32" s="20"/>
      <c r="W32" s="20"/>
      <c r="X32" s="20"/>
      <c r="Y32" s="20"/>
      <c r="Z32" s="20"/>
      <c r="AA32" s="20"/>
    </row>
    <row r="33" spans="2:57" s="20" customFormat="1" x14ac:dyDescent="0.2">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row>
    <row r="34" spans="2:57" s="20" customFormat="1" x14ac:dyDescent="0.2">
      <c r="B34" s="32" t="s">
        <v>48</v>
      </c>
      <c r="C34" s="33"/>
      <c r="D34" s="33"/>
      <c r="E34" s="33"/>
      <c r="F34" s="33"/>
      <c r="G34" s="33"/>
      <c r="H34" s="33"/>
      <c r="I34" s="33"/>
      <c r="J34" s="34"/>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row>
    <row r="35" spans="2:57" s="20" customFormat="1" x14ac:dyDescent="0.2">
      <c r="B35" s="36"/>
      <c r="C35" s="31"/>
      <c r="D35" s="31"/>
      <c r="E35" s="31"/>
      <c r="F35" s="31"/>
      <c r="G35" s="31"/>
      <c r="H35" s="31"/>
      <c r="I35" s="31"/>
      <c r="J35" s="3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row>
    <row r="36" spans="2:57" s="20" customFormat="1" x14ac:dyDescent="0.2">
      <c r="B36" s="36"/>
      <c r="C36" s="31"/>
      <c r="D36" s="31"/>
      <c r="E36" s="31"/>
      <c r="F36" s="31"/>
      <c r="G36" s="31"/>
      <c r="H36" s="31"/>
      <c r="I36" s="31"/>
      <c r="J36" s="3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row>
    <row r="37" spans="2:57" s="20" customFormat="1" x14ac:dyDescent="0.2">
      <c r="B37" s="36" t="s">
        <v>35</v>
      </c>
      <c r="C37" s="31"/>
      <c r="D37" s="31"/>
      <c r="E37" s="31"/>
      <c r="F37" s="31"/>
      <c r="G37" s="49" t="s">
        <v>36</v>
      </c>
      <c r="H37" s="49" t="s">
        <v>46</v>
      </c>
      <c r="I37" s="49" t="s">
        <v>47</v>
      </c>
      <c r="J37" s="3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row>
    <row r="38" spans="2:57" s="20" customFormat="1" x14ac:dyDescent="0.2">
      <c r="B38" s="36" t="s">
        <v>53</v>
      </c>
      <c r="C38" s="31"/>
      <c r="D38" s="31"/>
      <c r="E38" s="31"/>
      <c r="F38" s="31"/>
      <c r="G38" s="52">
        <f>Input!G18+G30-G31</f>
        <v>26.6</v>
      </c>
      <c r="H38" s="31"/>
      <c r="I38" s="31"/>
      <c r="J38" s="3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row>
    <row r="39" spans="2:57" s="20" customFormat="1" x14ac:dyDescent="0.2">
      <c r="B39" s="36" t="s">
        <v>54</v>
      </c>
      <c r="C39" s="31"/>
      <c r="D39" s="31"/>
      <c r="E39" s="31"/>
      <c r="F39" s="31"/>
      <c r="G39" s="50">
        <f>1-LOG(F_T/165.4+0.88)/2.1</f>
        <v>0.78014474712727711</v>
      </c>
      <c r="H39" s="50"/>
      <c r="I39" s="50"/>
      <c r="J39" s="3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row>
    <row r="40" spans="2:57" s="20" customFormat="1" x14ac:dyDescent="0.2">
      <c r="B40" s="36" t="s">
        <v>55</v>
      </c>
      <c r="C40" s="31"/>
      <c r="D40" s="31"/>
      <c r="E40" s="31"/>
      <c r="F40" s="31"/>
      <c r="G40" s="51">
        <f>LN((G39-1.15)/-1.1)/-0.002</f>
        <v>544.9768690711411</v>
      </c>
      <c r="H40" s="51">
        <f>G40+G32</f>
        <v>568.9768690711411</v>
      </c>
      <c r="I40" s="51">
        <f>G40-G32</f>
        <v>520.9768690711411</v>
      </c>
      <c r="J40" s="3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row>
    <row r="41" spans="2:57" s="20" customFormat="1" x14ac:dyDescent="0.2">
      <c r="B41" s="30" t="s">
        <v>56</v>
      </c>
      <c r="C41" s="31"/>
      <c r="D41" s="31"/>
      <c r="E41" s="31"/>
      <c r="F41" s="31"/>
      <c r="G41" s="51"/>
      <c r="H41" s="50">
        <f>-1.1*EXP(-0.002*(H40))+1.15</f>
        <v>0.79747846215891349</v>
      </c>
      <c r="I41" s="50">
        <f>-1.1*EXP(-0.002*(I40))+1.15</f>
        <v>0.7619587219683277</v>
      </c>
      <c r="J41" s="3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row>
    <row r="42" spans="2:57" s="20" customFormat="1" x14ac:dyDescent="0.2">
      <c r="B42" s="36" t="s">
        <v>57</v>
      </c>
      <c r="C42" s="31"/>
      <c r="D42" s="31"/>
      <c r="E42" s="31"/>
      <c r="F42" s="31"/>
      <c r="G42" s="50">
        <f>-1.1*EXP(-0.002*Input!G17)+1.15</f>
        <v>0.82000897445040732</v>
      </c>
      <c r="H42" s="50"/>
      <c r="I42" s="50"/>
      <c r="J42" s="3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row>
    <row r="43" spans="2:57" s="20" customFormat="1" x14ac:dyDescent="0.2">
      <c r="B43" s="30" t="s">
        <v>50</v>
      </c>
      <c r="C43" s="31"/>
      <c r="D43" s="31"/>
      <c r="E43" s="31"/>
      <c r="F43" s="31"/>
      <c r="G43" s="50">
        <f>-1.1*EXP(-0.002*1.5)+1.15</f>
        <v>5.3295054946289611E-2</v>
      </c>
      <c r="H43" s="50"/>
      <c r="I43" s="50"/>
      <c r="J43" s="3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row>
    <row r="44" spans="2:57" s="20" customFormat="1" x14ac:dyDescent="0.2">
      <c r="B44" s="36" t="s">
        <v>58</v>
      </c>
      <c r="C44" s="31"/>
      <c r="D44" s="31"/>
      <c r="E44" s="31"/>
      <c r="F44" s="31"/>
      <c r="G44" s="50">
        <f>(G38+1.6)/G42</f>
        <v>34.389867524194379</v>
      </c>
      <c r="H44" s="52"/>
      <c r="I44" s="52"/>
      <c r="J44" s="3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row>
    <row r="45" spans="2:57" s="20" customFormat="1" x14ac:dyDescent="0.2">
      <c r="B45" s="30" t="s">
        <v>59</v>
      </c>
      <c r="C45" s="31"/>
      <c r="D45" s="31"/>
      <c r="E45" s="31"/>
      <c r="F45" s="31"/>
      <c r="G45" s="50">
        <f>G44*G39</f>
        <v>26.829074503403184</v>
      </c>
      <c r="H45" s="50">
        <f>G44*H41</f>
        <v>27.425178667043294</v>
      </c>
      <c r="I45" s="50">
        <f>G44*I41</f>
        <v>26.203659507395248</v>
      </c>
      <c r="J45" s="35"/>
      <c r="L45" s="23"/>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row>
    <row r="46" spans="2:57" s="20" customFormat="1" x14ac:dyDescent="0.2">
      <c r="B46" s="30" t="s">
        <v>51</v>
      </c>
      <c r="C46" s="31"/>
      <c r="D46" s="31"/>
      <c r="E46" s="31"/>
      <c r="F46" s="31"/>
      <c r="G46" s="50">
        <f>G42*G44-G45</f>
        <v>1.3709254965968185</v>
      </c>
      <c r="H46" s="50">
        <f>G42*G44-H45</f>
        <v>0.77482133295670863</v>
      </c>
      <c r="I46" s="50">
        <f>G42*G44-I45</f>
        <v>1.9963404926047552</v>
      </c>
      <c r="J46" s="3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row>
    <row r="47" spans="2:57" s="20" customFormat="1" x14ac:dyDescent="0.2">
      <c r="B47" s="30" t="s">
        <v>24</v>
      </c>
      <c r="C47" s="31"/>
      <c r="D47" s="31"/>
      <c r="E47" s="31"/>
      <c r="F47" s="31"/>
      <c r="G47" s="50">
        <f>G46/'Electrode arrays'!$C$13+1</f>
        <v>1.5712189569153412</v>
      </c>
      <c r="H47" s="50">
        <f>H46/'Electrode arrays'!$C$13+1</f>
        <v>1.3228422220652953</v>
      </c>
      <c r="I47" s="50">
        <f>I46/'Electrode arrays'!$C$13+1</f>
        <v>1.8318085385853147</v>
      </c>
      <c r="J47" s="3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row>
    <row r="48" spans="2:57" s="20" customFormat="1" x14ac:dyDescent="0.2">
      <c r="B48" s="30"/>
      <c r="C48" s="31"/>
      <c r="D48" s="31"/>
      <c r="E48" s="31"/>
      <c r="F48" s="31"/>
      <c r="G48" s="52"/>
      <c r="H48" s="52"/>
      <c r="I48" s="52"/>
      <c r="J48" s="3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row>
    <row r="49" spans="2:57" s="20" customFormat="1" x14ac:dyDescent="0.2">
      <c r="B49" s="30"/>
      <c r="C49" s="31"/>
      <c r="D49" s="31"/>
      <c r="E49" s="31"/>
      <c r="F49" s="31"/>
      <c r="G49" s="52"/>
      <c r="H49" s="31"/>
      <c r="I49" s="31"/>
      <c r="J49" s="3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row>
    <row r="50" spans="2:57" s="20" customFormat="1" x14ac:dyDescent="0.2">
      <c r="B50" s="37"/>
      <c r="C50" s="38"/>
      <c r="D50" s="38"/>
      <c r="E50" s="38"/>
      <c r="F50" s="38"/>
      <c r="G50" s="38"/>
      <c r="H50" s="38"/>
      <c r="I50" s="38"/>
      <c r="J50" s="39"/>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row>
    <row r="51" spans="2:57" s="20" customFormat="1" x14ac:dyDescent="0.2">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row>
    <row r="52" spans="2:57" s="20" customFormat="1" x14ac:dyDescent="0.2">
      <c r="L52" s="23"/>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row>
    <row r="53" spans="2:57" s="20" customFormat="1" x14ac:dyDescent="0.2">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row>
    <row r="54" spans="2:57" s="20" customFormat="1" x14ac:dyDescent="0.2">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row>
    <row r="55" spans="2:57" s="20" customFormat="1" x14ac:dyDescent="0.2">
      <c r="L55"/>
      <c r="M55"/>
      <c r="N5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row>
    <row r="56" spans="2:57" x14ac:dyDescent="0.2">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row>
    <row r="57" spans="2:57" x14ac:dyDescent="0.2">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row>
    <row r="58" spans="2:57" x14ac:dyDescent="0.2">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row>
    <row r="59" spans="2:57" x14ac:dyDescent="0.2">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row>
    <row r="60" spans="2:57" x14ac:dyDescent="0.2">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row>
    <row r="61" spans="2:57" x14ac:dyDescent="0.2">
      <c r="B61" s="53"/>
      <c r="C61" s="20"/>
      <c r="D61" s="53"/>
      <c r="E61" s="20"/>
      <c r="F61" s="23"/>
      <c r="G61" s="20"/>
      <c r="H61" s="20"/>
      <c r="I61" s="53"/>
      <c r="J61" s="20"/>
      <c r="K61" s="20"/>
      <c r="L61" s="20"/>
      <c r="M61" s="20"/>
      <c r="N61" s="20"/>
      <c r="O61" s="20"/>
      <c r="Q61" s="20"/>
      <c r="R61" s="20"/>
      <c r="S61" s="20"/>
      <c r="T61" s="20"/>
      <c r="U61" s="20"/>
      <c r="V61" s="20"/>
      <c r="W61" s="20"/>
      <c r="X61" s="20"/>
      <c r="Y61" s="20"/>
      <c r="Z61" s="20"/>
      <c r="AA61" s="20"/>
    </row>
    <row r="62" spans="2:57" x14ac:dyDescent="0.2">
      <c r="B62" s="20"/>
      <c r="C62" s="20"/>
      <c r="D62" s="20"/>
      <c r="E62" s="20"/>
      <c r="F62" s="20"/>
      <c r="G62" s="20"/>
      <c r="H62" s="20"/>
      <c r="I62" s="20"/>
      <c r="J62" s="20"/>
      <c r="K62" s="20"/>
      <c r="L62" s="20"/>
      <c r="M62" s="20"/>
      <c r="N62" s="20"/>
      <c r="O62" s="20"/>
      <c r="Q62" s="20"/>
      <c r="R62" s="20"/>
      <c r="S62" s="20"/>
      <c r="T62" s="20"/>
      <c r="U62" s="20"/>
      <c r="V62" s="20"/>
      <c r="W62" s="20"/>
      <c r="X62" s="20"/>
      <c r="Y62" s="20"/>
      <c r="Z62" s="20"/>
      <c r="AA62" s="20"/>
    </row>
    <row r="63" spans="2:57" x14ac:dyDescent="0.2">
      <c r="B63" s="20"/>
      <c r="C63" s="20"/>
      <c r="D63" s="20"/>
      <c r="E63" s="20"/>
      <c r="F63" s="20"/>
      <c r="G63" s="20"/>
      <c r="H63" s="20"/>
      <c r="I63" s="20"/>
      <c r="J63" s="20"/>
      <c r="K63" s="20"/>
      <c r="L63" s="20"/>
      <c r="M63" s="20"/>
      <c r="N63" s="20"/>
      <c r="O63" s="20"/>
      <c r="Q63" s="20"/>
      <c r="R63" s="20"/>
      <c r="S63" s="20"/>
      <c r="T63" s="20"/>
      <c r="U63" s="20"/>
      <c r="V63" s="20"/>
      <c r="W63" s="20"/>
      <c r="X63" s="20"/>
      <c r="Y63" s="20"/>
      <c r="Z63" s="20"/>
      <c r="AA63" s="20"/>
    </row>
    <row r="64" spans="2:57" x14ac:dyDescent="0.2">
      <c r="B64" s="20"/>
      <c r="C64" s="20"/>
      <c r="D64" s="20"/>
      <c r="E64" s="20"/>
      <c r="F64" s="20"/>
      <c r="G64" s="20"/>
      <c r="H64" s="20"/>
      <c r="I64" s="20"/>
      <c r="J64" s="20"/>
      <c r="K64" s="20"/>
      <c r="L64" s="20"/>
      <c r="M64" s="20"/>
      <c r="N64" s="20"/>
      <c r="O64" s="20"/>
      <c r="Q64" s="20"/>
      <c r="R64" s="20"/>
      <c r="S64" s="20"/>
      <c r="T64" s="20"/>
      <c r="U64" s="20"/>
      <c r="V64" s="20"/>
      <c r="W64" s="20"/>
      <c r="X64" s="20"/>
      <c r="Y64" s="20"/>
      <c r="Z64" s="20"/>
      <c r="AA64" s="20"/>
    </row>
    <row r="65" spans="2:27" x14ac:dyDescent="0.2">
      <c r="B65" s="20"/>
      <c r="C65" s="20"/>
      <c r="D65" s="20"/>
      <c r="E65" s="20"/>
      <c r="F65" s="20"/>
      <c r="G65" s="20"/>
      <c r="H65" s="20"/>
      <c r="I65" s="20"/>
      <c r="J65" s="20"/>
      <c r="K65" s="20"/>
      <c r="L65" s="20"/>
      <c r="M65" s="20"/>
      <c r="N65" s="20"/>
      <c r="O65" s="20"/>
      <c r="Q65" s="20"/>
      <c r="R65" s="20"/>
      <c r="S65" s="20"/>
      <c r="T65" s="20"/>
      <c r="U65" s="20"/>
      <c r="V65" s="20"/>
      <c r="W65" s="20"/>
      <c r="X65" s="20"/>
      <c r="Y65" s="20"/>
      <c r="Z65" s="20"/>
      <c r="AA65" s="20"/>
    </row>
    <row r="66" spans="2:27" x14ac:dyDescent="0.2">
      <c r="B66" s="20"/>
      <c r="C66" s="20"/>
      <c r="D66" s="20"/>
      <c r="E66" s="20"/>
      <c r="F66" s="20"/>
      <c r="G66" s="20"/>
      <c r="H66" s="20"/>
      <c r="I66" s="20"/>
      <c r="J66" s="20"/>
      <c r="K66" s="20"/>
      <c r="L66" s="20"/>
      <c r="M66" s="20"/>
      <c r="N66" s="20"/>
      <c r="O66" s="20"/>
      <c r="Q66" s="20"/>
      <c r="R66" s="20"/>
      <c r="S66" s="20"/>
      <c r="T66" s="20"/>
      <c r="U66" s="20"/>
      <c r="V66" s="20"/>
      <c r="W66" s="20"/>
      <c r="X66" s="20"/>
      <c r="Y66" s="20"/>
      <c r="Z66" s="20"/>
      <c r="AA66" s="20"/>
    </row>
    <row r="67" spans="2:27" x14ac:dyDescent="0.2">
      <c r="B67" s="20"/>
      <c r="C67" s="20"/>
      <c r="D67" s="20"/>
      <c r="E67" s="20"/>
      <c r="F67" s="20"/>
      <c r="G67" s="20"/>
      <c r="H67" s="20"/>
      <c r="I67" s="20"/>
      <c r="J67" s="20"/>
      <c r="K67" s="20"/>
      <c r="L67" s="20"/>
      <c r="M67" s="20"/>
      <c r="N67" s="20"/>
      <c r="O67" s="20"/>
      <c r="Q67" s="20"/>
      <c r="R67" s="20"/>
      <c r="S67" s="20"/>
      <c r="T67" s="20"/>
      <c r="U67" s="20"/>
      <c r="V67" s="20"/>
      <c r="W67" s="20"/>
      <c r="X67" s="20"/>
      <c r="Y67" s="20"/>
      <c r="Z67" s="20"/>
      <c r="AA67" s="20"/>
    </row>
    <row r="68" spans="2:27" x14ac:dyDescent="0.2">
      <c r="B68" s="22" t="s">
        <v>44</v>
      </c>
      <c r="C68" s="20"/>
      <c r="D68" s="20"/>
      <c r="E68" s="20"/>
      <c r="F68" s="20"/>
      <c r="G68" s="20"/>
      <c r="H68" s="20"/>
      <c r="I68" s="20"/>
      <c r="J68" s="20"/>
      <c r="K68" s="20"/>
      <c r="L68" s="20"/>
      <c r="M68" s="20"/>
      <c r="N68" s="20"/>
      <c r="O68" s="20"/>
      <c r="Q68" s="20"/>
      <c r="R68" s="20"/>
      <c r="S68" s="20"/>
      <c r="T68" s="20"/>
      <c r="U68" s="20"/>
      <c r="V68" s="20"/>
      <c r="W68" s="20"/>
      <c r="X68" s="20"/>
      <c r="Y68" s="20"/>
      <c r="Z68" s="20"/>
      <c r="AA68" s="20"/>
    </row>
    <row r="69" spans="2:27" x14ac:dyDescent="0.2">
      <c r="B69" s="54">
        <f>H47</f>
        <v>1.3228422220652953</v>
      </c>
      <c r="C69" s="44">
        <v>-0.1</v>
      </c>
      <c r="D69" s="20"/>
      <c r="E69" s="20"/>
      <c r="F69" s="20"/>
      <c r="G69" s="20"/>
      <c r="H69" s="20"/>
      <c r="I69" s="20"/>
      <c r="J69" s="20"/>
      <c r="K69" s="20"/>
      <c r="L69" s="20"/>
      <c r="M69" s="20"/>
      <c r="N69" s="20"/>
      <c r="O69" s="20"/>
      <c r="Q69" s="20"/>
      <c r="R69" s="20"/>
      <c r="S69" s="20"/>
      <c r="T69" s="20"/>
      <c r="U69" s="20"/>
      <c r="V69" s="20"/>
      <c r="W69" s="20"/>
      <c r="X69" s="20"/>
      <c r="Y69" s="20"/>
      <c r="Z69" s="20"/>
      <c r="AA69" s="20"/>
    </row>
    <row r="70" spans="2:27" x14ac:dyDescent="0.2">
      <c r="B70" s="54">
        <f>H47</f>
        <v>1.3228422220652953</v>
      </c>
      <c r="C70" s="44">
        <v>0.1</v>
      </c>
      <c r="D70" s="20"/>
      <c r="E70" s="20"/>
      <c r="F70" s="20"/>
      <c r="G70" s="20"/>
      <c r="H70" s="20"/>
      <c r="I70" s="20"/>
      <c r="J70" s="20"/>
      <c r="K70" s="20"/>
      <c r="L70" s="20"/>
      <c r="M70" s="20"/>
      <c r="N70" s="20"/>
      <c r="O70" s="20"/>
      <c r="Q70" s="20"/>
      <c r="R70" s="20"/>
      <c r="S70" s="20"/>
      <c r="T70" s="20"/>
      <c r="U70" s="20"/>
      <c r="V70" s="20"/>
      <c r="W70" s="20"/>
      <c r="X70" s="20"/>
      <c r="Y70" s="20"/>
      <c r="Z70" s="20"/>
      <c r="AA70" s="20"/>
    </row>
    <row r="71" spans="2:27" x14ac:dyDescent="0.2">
      <c r="B71" s="54">
        <f>H47+(G47-H47)*0.2</f>
        <v>1.3725175690353044</v>
      </c>
      <c r="C71" s="44">
        <v>-0.1</v>
      </c>
      <c r="D71" s="20"/>
      <c r="E71" s="20"/>
      <c r="F71" s="20"/>
      <c r="G71" s="20"/>
      <c r="H71" s="20"/>
      <c r="I71" s="20"/>
      <c r="J71" s="20"/>
      <c r="K71" s="20"/>
      <c r="L71" s="20"/>
      <c r="M71" s="20"/>
      <c r="N71" s="20"/>
      <c r="O71" s="20"/>
      <c r="Q71" s="20"/>
      <c r="R71" s="20"/>
      <c r="S71" s="20"/>
      <c r="T71" s="20"/>
      <c r="U71" s="20"/>
      <c r="V71" s="20"/>
      <c r="W71" s="20"/>
      <c r="X71" s="20"/>
      <c r="Y71" s="20"/>
      <c r="Z71" s="20"/>
      <c r="AA71" s="20"/>
    </row>
    <row r="72" spans="2:27" x14ac:dyDescent="0.2">
      <c r="B72" s="54">
        <f>H47+(G47-H47)*0.2</f>
        <v>1.3725175690353044</v>
      </c>
      <c r="C72" s="44">
        <v>0.1</v>
      </c>
      <c r="D72" s="20"/>
      <c r="E72" s="20"/>
      <c r="F72" s="20"/>
      <c r="G72" s="20"/>
      <c r="H72" s="20"/>
      <c r="I72" s="20"/>
      <c r="J72" s="20"/>
      <c r="K72" s="20"/>
      <c r="L72" s="20"/>
      <c r="M72" s="20"/>
      <c r="N72" s="20"/>
      <c r="O72" s="20"/>
      <c r="Q72" s="20"/>
      <c r="R72" s="20"/>
      <c r="S72" s="20"/>
      <c r="T72" s="20"/>
      <c r="U72" s="20"/>
      <c r="V72" s="20"/>
      <c r="W72" s="20"/>
      <c r="X72" s="20"/>
      <c r="Y72" s="20"/>
      <c r="Z72" s="20"/>
      <c r="AA72" s="20"/>
    </row>
    <row r="73" spans="2:27" x14ac:dyDescent="0.2">
      <c r="B73" s="54">
        <f>H47+(G47-H47)*0.4</f>
        <v>1.4221929160053137</v>
      </c>
      <c r="C73" s="44">
        <v>-0.1</v>
      </c>
      <c r="D73" s="20"/>
      <c r="E73" s="20"/>
      <c r="F73" s="20"/>
      <c r="G73" s="20"/>
      <c r="H73" s="20"/>
      <c r="I73" s="20"/>
      <c r="J73" s="20"/>
      <c r="K73" s="20"/>
      <c r="L73" s="20"/>
      <c r="M73" s="20"/>
      <c r="N73" s="20"/>
      <c r="O73" s="20"/>
      <c r="Q73" s="20"/>
      <c r="R73" s="20"/>
      <c r="S73" s="20"/>
      <c r="T73" s="20"/>
      <c r="U73" s="20"/>
      <c r="V73" s="20"/>
      <c r="W73" s="20"/>
      <c r="X73" s="20"/>
      <c r="Y73" s="20"/>
      <c r="Z73" s="20"/>
      <c r="AA73" s="20"/>
    </row>
    <row r="74" spans="2:27" x14ac:dyDescent="0.2">
      <c r="B74" s="54">
        <f>H47+(G47-H47)*0.4</f>
        <v>1.4221929160053137</v>
      </c>
      <c r="C74" s="44">
        <v>0.1</v>
      </c>
      <c r="D74" s="20"/>
      <c r="E74" s="20"/>
      <c r="F74" s="20"/>
      <c r="G74" s="20"/>
      <c r="H74" s="20"/>
      <c r="I74" s="20"/>
      <c r="J74" s="20"/>
      <c r="K74" s="20"/>
      <c r="L74" s="20"/>
      <c r="M74" s="20"/>
      <c r="N74" s="20"/>
      <c r="O74" s="20"/>
      <c r="Q74" s="20"/>
      <c r="R74" s="20"/>
      <c r="S74" s="20"/>
      <c r="T74" s="20"/>
      <c r="U74" s="20"/>
      <c r="V74" s="20"/>
      <c r="W74" s="20"/>
      <c r="X74" s="20"/>
      <c r="Y74" s="20"/>
      <c r="Z74" s="20"/>
      <c r="AA74" s="20"/>
    </row>
    <row r="75" spans="2:27" x14ac:dyDescent="0.2">
      <c r="B75" s="54">
        <f>H47+(G47-H47)*0.6</f>
        <v>1.4718682629753228</v>
      </c>
      <c r="C75" s="44">
        <v>-0.1</v>
      </c>
      <c r="D75" s="20"/>
      <c r="E75" s="20"/>
      <c r="F75" s="20"/>
      <c r="G75" s="20"/>
      <c r="H75" s="20"/>
      <c r="I75" s="20"/>
      <c r="J75" s="20"/>
      <c r="K75" s="20"/>
      <c r="L75" s="20"/>
      <c r="M75" s="20"/>
      <c r="N75" s="20"/>
      <c r="O75" s="20"/>
      <c r="Q75" s="20"/>
      <c r="R75" s="20"/>
      <c r="S75" s="20"/>
      <c r="T75" s="20"/>
      <c r="U75" s="20"/>
      <c r="V75" s="20"/>
      <c r="W75" s="20"/>
      <c r="X75" s="20"/>
      <c r="Y75" s="20"/>
      <c r="Z75" s="20"/>
      <c r="AA75" s="20"/>
    </row>
    <row r="76" spans="2:27" x14ac:dyDescent="0.2">
      <c r="B76" s="54">
        <f>H47+(G47-H47)*0.6</f>
        <v>1.4718682629753228</v>
      </c>
      <c r="C76" s="44">
        <v>0.1</v>
      </c>
      <c r="D76" s="20"/>
      <c r="E76" s="20"/>
      <c r="F76" s="20"/>
      <c r="G76" s="20"/>
      <c r="H76" s="20"/>
      <c r="I76" s="20"/>
      <c r="J76" s="20"/>
      <c r="K76" s="20"/>
      <c r="Q76" s="20"/>
      <c r="R76" s="20"/>
      <c r="S76" s="20"/>
      <c r="T76" s="20"/>
      <c r="U76" s="20"/>
      <c r="V76" s="20"/>
      <c r="W76" s="20"/>
      <c r="X76" s="20"/>
      <c r="Y76" s="20"/>
      <c r="Z76" s="20"/>
      <c r="AA76" s="20"/>
    </row>
    <row r="77" spans="2:27" x14ac:dyDescent="0.2">
      <c r="B77" s="54">
        <f>H47+(G47-H47)*0.8</f>
        <v>1.5215436099453321</v>
      </c>
      <c r="C77" s="44">
        <v>-0.1</v>
      </c>
      <c r="D77" s="20"/>
      <c r="E77" s="20"/>
      <c r="F77" s="20"/>
      <c r="G77" s="20"/>
      <c r="H77" s="20"/>
      <c r="I77" s="20"/>
      <c r="J77" s="20"/>
      <c r="K77" s="20"/>
      <c r="Q77" s="20"/>
      <c r="R77" s="20"/>
      <c r="S77" s="20"/>
      <c r="T77" s="20"/>
      <c r="U77" s="20"/>
      <c r="V77" s="20"/>
      <c r="W77" s="20"/>
      <c r="X77" s="20"/>
      <c r="Y77" s="20"/>
      <c r="Z77" s="20"/>
      <c r="AA77" s="20"/>
    </row>
    <row r="78" spans="2:27" x14ac:dyDescent="0.2">
      <c r="B78" s="54">
        <f>H47+(G47-H47)*0.8</f>
        <v>1.5215436099453321</v>
      </c>
      <c r="C78" s="44">
        <v>0.1</v>
      </c>
      <c r="D78" s="20"/>
      <c r="E78" s="20"/>
      <c r="F78" s="20"/>
      <c r="G78" s="20"/>
      <c r="H78" s="20"/>
      <c r="I78" s="20"/>
      <c r="J78" s="20"/>
      <c r="K78" s="20"/>
      <c r="Q78" s="20"/>
      <c r="R78" s="20"/>
      <c r="S78" s="20"/>
      <c r="T78" s="20"/>
      <c r="U78" s="20"/>
      <c r="V78" s="20"/>
      <c r="W78" s="20"/>
      <c r="X78" s="20"/>
      <c r="Y78" s="20"/>
      <c r="Z78" s="20"/>
      <c r="AA78" s="20"/>
    </row>
    <row r="79" spans="2:27" x14ac:dyDescent="0.2">
      <c r="B79" s="54">
        <f>G47</f>
        <v>1.5712189569153412</v>
      </c>
      <c r="C79" s="44">
        <v>-0.1</v>
      </c>
      <c r="D79" s="20"/>
      <c r="E79" s="20"/>
      <c r="F79" s="20"/>
      <c r="G79" s="20"/>
      <c r="H79" s="20"/>
      <c r="I79" s="20"/>
      <c r="J79" s="20"/>
      <c r="K79" s="20"/>
      <c r="Q79" s="20"/>
      <c r="R79" s="20"/>
      <c r="S79" s="20"/>
      <c r="T79" s="20"/>
      <c r="U79" s="20"/>
      <c r="V79" s="20"/>
      <c r="W79" s="20"/>
      <c r="X79" s="20"/>
      <c r="Y79" s="20"/>
      <c r="Z79" s="20"/>
      <c r="AA79" s="20"/>
    </row>
    <row r="80" spans="2:27" x14ac:dyDescent="0.2">
      <c r="B80" s="54">
        <f>G47</f>
        <v>1.5712189569153412</v>
      </c>
      <c r="C80" s="44">
        <v>0.1</v>
      </c>
      <c r="D80" s="20"/>
      <c r="E80" s="20"/>
      <c r="F80" s="20"/>
      <c r="G80" s="20"/>
      <c r="H80" s="20"/>
      <c r="I80" s="20"/>
      <c r="J80" s="20"/>
      <c r="K80" s="20"/>
      <c r="Q80" s="20"/>
      <c r="R80" s="20"/>
      <c r="S80" s="20"/>
      <c r="T80" s="20"/>
      <c r="U80" s="20"/>
      <c r="V80" s="20"/>
      <c r="W80" s="20"/>
      <c r="X80" s="20"/>
      <c r="Y80" s="20"/>
      <c r="Z80" s="20"/>
      <c r="AA80" s="20"/>
    </row>
    <row r="81" spans="2:27" x14ac:dyDescent="0.2">
      <c r="B81" s="54">
        <f>G47+(I47-G47)*0.2</f>
        <v>1.6233368732493358</v>
      </c>
      <c r="C81" s="44">
        <v>-0.1</v>
      </c>
      <c r="D81" s="20"/>
      <c r="E81" s="20"/>
      <c r="F81" s="20"/>
      <c r="G81" s="20"/>
      <c r="H81" s="20"/>
      <c r="I81" s="20"/>
      <c r="J81" s="20"/>
      <c r="K81" s="20"/>
      <c r="Q81" s="20"/>
      <c r="R81" s="20"/>
      <c r="S81" s="20"/>
      <c r="T81" s="20"/>
      <c r="U81" s="20"/>
      <c r="V81" s="20"/>
      <c r="W81" s="20"/>
      <c r="X81" s="20"/>
      <c r="Y81" s="20"/>
      <c r="Z81" s="20"/>
      <c r="AA81" s="20"/>
    </row>
    <row r="82" spans="2:27" x14ac:dyDescent="0.2">
      <c r="B82" s="54">
        <f>G47+(I47-G47)*0.2</f>
        <v>1.6233368732493358</v>
      </c>
      <c r="C82" s="44">
        <v>0.1</v>
      </c>
      <c r="D82" s="20"/>
      <c r="E82" s="20"/>
      <c r="F82" s="20"/>
      <c r="G82" s="20"/>
      <c r="H82" s="20"/>
      <c r="I82" s="20"/>
      <c r="J82" s="20"/>
      <c r="K82" s="20"/>
      <c r="Q82" s="20"/>
      <c r="R82" s="20"/>
      <c r="S82" s="20"/>
      <c r="T82" s="20"/>
      <c r="U82" s="20"/>
      <c r="V82" s="20"/>
      <c r="W82" s="20"/>
      <c r="X82" s="20"/>
      <c r="Y82" s="20"/>
      <c r="Z82" s="20"/>
      <c r="AA82" s="20"/>
    </row>
    <row r="83" spans="2:27" x14ac:dyDescent="0.2">
      <c r="B83" s="54">
        <f>G47+(I47-G47)*0.4</f>
        <v>1.6754547895833305</v>
      </c>
      <c r="C83" s="44">
        <v>-0.1</v>
      </c>
      <c r="D83" s="20"/>
      <c r="E83" s="20"/>
      <c r="F83" s="20"/>
      <c r="G83" s="20"/>
      <c r="H83" s="20"/>
      <c r="I83" s="20"/>
      <c r="J83" s="20"/>
      <c r="K83" s="20"/>
      <c r="Q83" s="20"/>
      <c r="R83" s="20"/>
      <c r="S83" s="20"/>
      <c r="T83" s="20"/>
      <c r="U83" s="20"/>
      <c r="V83" s="20"/>
      <c r="W83" s="20"/>
      <c r="X83" s="20"/>
      <c r="Y83" s="20"/>
      <c r="Z83" s="20"/>
      <c r="AA83" s="20"/>
    </row>
    <row r="84" spans="2:27" x14ac:dyDescent="0.2">
      <c r="B84" s="54">
        <f>G47+(I47-G47)*0.4</f>
        <v>1.6754547895833305</v>
      </c>
      <c r="C84" s="44">
        <v>0.1</v>
      </c>
      <c r="D84" s="20"/>
      <c r="E84" s="20"/>
      <c r="F84" s="20"/>
      <c r="G84" s="20"/>
      <c r="H84" s="20"/>
      <c r="I84" s="20"/>
      <c r="J84" s="20"/>
      <c r="K84" s="20"/>
      <c r="Q84" s="20"/>
      <c r="R84" s="20"/>
      <c r="S84" s="20"/>
      <c r="T84" s="20"/>
      <c r="U84" s="20"/>
      <c r="V84" s="20"/>
      <c r="W84" s="20"/>
      <c r="X84" s="20"/>
      <c r="Y84" s="20"/>
      <c r="Z84" s="20"/>
      <c r="AA84" s="20"/>
    </row>
    <row r="85" spans="2:27" x14ac:dyDescent="0.2">
      <c r="B85" s="54">
        <f>G47+(I47-G47)*0.6</f>
        <v>1.7275727059173254</v>
      </c>
      <c r="C85" s="44">
        <v>-0.1</v>
      </c>
      <c r="D85" s="20"/>
      <c r="E85" s="20"/>
      <c r="F85" s="20"/>
      <c r="G85" s="20"/>
      <c r="H85" s="20"/>
      <c r="I85" s="20"/>
      <c r="J85" s="20"/>
      <c r="K85" s="20"/>
      <c r="Q85" s="20"/>
      <c r="R85" s="20"/>
      <c r="S85" s="20"/>
      <c r="T85" s="20"/>
      <c r="U85" s="20"/>
      <c r="V85" s="20"/>
      <c r="W85" s="20"/>
      <c r="X85" s="20"/>
      <c r="Y85" s="20"/>
      <c r="Z85" s="20"/>
      <c r="AA85" s="20"/>
    </row>
    <row r="86" spans="2:27" x14ac:dyDescent="0.2">
      <c r="B86" s="54">
        <f>G47+(I47-G47)*0.6</f>
        <v>1.7275727059173254</v>
      </c>
      <c r="C86" s="44">
        <v>0.1</v>
      </c>
      <c r="D86" s="20"/>
      <c r="E86" s="20"/>
      <c r="F86" s="20"/>
      <c r="G86" s="20"/>
      <c r="H86" s="20"/>
      <c r="I86" s="20"/>
      <c r="J86" s="20"/>
      <c r="K86" s="20"/>
      <c r="Q86" s="20"/>
      <c r="R86" s="20"/>
      <c r="S86" s="20"/>
      <c r="T86" s="20"/>
      <c r="U86" s="20"/>
      <c r="V86" s="20"/>
      <c r="W86" s="20"/>
      <c r="X86" s="20"/>
      <c r="Y86" s="20"/>
      <c r="Z86" s="20"/>
      <c r="AA86" s="20"/>
    </row>
    <row r="87" spans="2:27" x14ac:dyDescent="0.2">
      <c r="B87" s="54">
        <f>G47+(I47-G47)*0.8</f>
        <v>1.77969062225132</v>
      </c>
      <c r="C87" s="44">
        <v>-0.1</v>
      </c>
      <c r="D87" s="20"/>
      <c r="E87" s="20"/>
      <c r="F87" s="20"/>
      <c r="G87" s="20"/>
      <c r="H87" s="20"/>
      <c r="I87" s="20"/>
      <c r="J87" s="20"/>
      <c r="K87" s="20"/>
      <c r="Q87" s="20"/>
      <c r="R87" s="20"/>
      <c r="S87" s="20"/>
      <c r="T87" s="20"/>
      <c r="U87" s="20"/>
      <c r="V87" s="20"/>
      <c r="W87" s="20"/>
      <c r="X87" s="20"/>
      <c r="Y87" s="20"/>
      <c r="Z87" s="20"/>
      <c r="AA87" s="20"/>
    </row>
    <row r="88" spans="2:27" x14ac:dyDescent="0.2">
      <c r="B88" s="54">
        <f>G47+(I47-G47)*0.8</f>
        <v>1.77969062225132</v>
      </c>
      <c r="C88" s="44">
        <v>0.1</v>
      </c>
      <c r="D88" s="20"/>
      <c r="E88" s="20"/>
      <c r="F88" s="20"/>
      <c r="G88" s="20"/>
      <c r="H88" s="20"/>
      <c r="I88" s="20"/>
      <c r="J88" s="20"/>
      <c r="K88" s="20"/>
      <c r="Q88" s="20"/>
      <c r="R88" s="20"/>
      <c r="S88" s="20"/>
      <c r="T88" s="20"/>
      <c r="U88" s="20"/>
      <c r="V88" s="20"/>
      <c r="W88" s="20"/>
      <c r="X88" s="20"/>
      <c r="Y88" s="20"/>
      <c r="Z88" s="20"/>
      <c r="AA88" s="20"/>
    </row>
    <row r="89" spans="2:27" x14ac:dyDescent="0.2">
      <c r="B89" s="54">
        <f>I47</f>
        <v>1.8318085385853147</v>
      </c>
      <c r="C89" s="44">
        <v>-0.1</v>
      </c>
      <c r="D89" s="20"/>
      <c r="E89" s="20"/>
      <c r="F89" s="20"/>
      <c r="G89" s="20"/>
      <c r="H89" s="20"/>
      <c r="I89" s="20"/>
      <c r="J89" s="20"/>
      <c r="K89" s="20"/>
      <c r="Q89" s="20"/>
      <c r="R89" s="20"/>
      <c r="S89" s="20"/>
      <c r="T89" s="20"/>
      <c r="U89" s="20"/>
      <c r="V89" s="20"/>
      <c r="W89" s="20"/>
      <c r="X89" s="20"/>
      <c r="Y89" s="20"/>
      <c r="Z89" s="20"/>
      <c r="AA89" s="20"/>
    </row>
    <row r="90" spans="2:27" x14ac:dyDescent="0.2">
      <c r="B90" s="54">
        <f>I47</f>
        <v>1.8318085385853147</v>
      </c>
      <c r="C90" s="44">
        <v>0.1</v>
      </c>
      <c r="D90" s="20"/>
      <c r="E90" s="20"/>
      <c r="F90" s="20"/>
      <c r="G90" s="20"/>
      <c r="H90" s="20"/>
      <c r="I90" s="20"/>
      <c r="J90" s="20"/>
      <c r="K90" s="20"/>
      <c r="Q90" s="20"/>
      <c r="R90" s="20"/>
      <c r="S90" s="20"/>
      <c r="T90" s="20"/>
      <c r="U90" s="20"/>
      <c r="V90" s="20"/>
      <c r="W90" s="20"/>
      <c r="X90" s="20"/>
      <c r="Y90" s="20"/>
      <c r="Z90" s="20"/>
      <c r="AA90" s="20"/>
    </row>
    <row r="91" spans="2:27" x14ac:dyDescent="0.2">
      <c r="B91" s="20"/>
      <c r="C91" s="20"/>
      <c r="D91" s="20"/>
      <c r="E91" s="20"/>
      <c r="F91" s="20"/>
      <c r="G91" s="20"/>
      <c r="H91" s="20"/>
      <c r="I91" s="20"/>
      <c r="J91" s="20"/>
      <c r="K91" s="20"/>
      <c r="Q91" s="20"/>
      <c r="R91" s="20"/>
      <c r="S91" s="20"/>
      <c r="T91" s="20"/>
      <c r="U91" s="20"/>
      <c r="V91" s="20"/>
      <c r="W91" s="20"/>
      <c r="X91" s="20"/>
      <c r="Y91" s="20"/>
      <c r="Z91" s="20"/>
      <c r="AA91" s="20"/>
    </row>
    <row r="92" spans="2:27" x14ac:dyDescent="0.2">
      <c r="B92" s="20"/>
      <c r="C92" s="20"/>
      <c r="D92" s="20"/>
      <c r="E92" s="20"/>
      <c r="F92" s="20"/>
      <c r="G92" s="20"/>
      <c r="H92" s="20"/>
      <c r="I92" s="20"/>
      <c r="J92" s="20"/>
      <c r="K92" s="20"/>
      <c r="Q92" s="20"/>
      <c r="R92" s="20"/>
      <c r="S92" s="20"/>
      <c r="T92" s="20"/>
      <c r="U92" s="20"/>
      <c r="V92" s="20"/>
      <c r="W92" s="20"/>
      <c r="X92" s="20"/>
      <c r="Y92" s="20"/>
      <c r="Z92" s="20"/>
      <c r="AA92" s="20"/>
    </row>
    <row r="93" spans="2:27" x14ac:dyDescent="0.2">
      <c r="B93" s="20"/>
      <c r="C93" s="20"/>
      <c r="D93" s="20"/>
      <c r="E93" s="20"/>
      <c r="F93" s="20"/>
      <c r="G93" s="20"/>
      <c r="H93" s="20"/>
      <c r="I93" s="20"/>
      <c r="J93" s="20"/>
      <c r="K93" s="20"/>
      <c r="Q93" s="20"/>
      <c r="R93" s="20"/>
      <c r="S93" s="20"/>
      <c r="T93" s="20"/>
      <c r="U93" s="20"/>
      <c r="V93" s="20"/>
      <c r="W93" s="20"/>
      <c r="X93" s="20"/>
      <c r="Y93" s="20"/>
      <c r="Z93" s="20"/>
      <c r="AA93" s="20"/>
    </row>
    <row r="94" spans="2:27" x14ac:dyDescent="0.2">
      <c r="B94" s="20"/>
      <c r="C94" s="20"/>
      <c r="D94" s="20"/>
      <c r="E94" s="20"/>
      <c r="F94" s="20"/>
      <c r="G94" s="20"/>
      <c r="H94" s="20"/>
      <c r="I94" s="20"/>
      <c r="J94" s="20"/>
      <c r="K94" s="20"/>
      <c r="Q94" s="20"/>
      <c r="R94" s="20"/>
      <c r="S94" s="20"/>
      <c r="T94" s="20"/>
      <c r="U94" s="20"/>
      <c r="V94" s="20"/>
      <c r="W94" s="20"/>
      <c r="X94" s="20"/>
      <c r="Y94" s="20"/>
      <c r="Z94" s="20"/>
      <c r="AA94" s="20"/>
    </row>
    <row r="95" spans="2:27" x14ac:dyDescent="0.2">
      <c r="B95" s="20"/>
      <c r="C95" s="20"/>
      <c r="D95" s="20"/>
      <c r="E95" s="20"/>
      <c r="F95" s="20"/>
      <c r="G95" s="20"/>
      <c r="H95" s="20"/>
      <c r="I95" s="20"/>
      <c r="J95" s="20"/>
      <c r="K95" s="20"/>
      <c r="Q95" s="20"/>
      <c r="R95" s="20"/>
      <c r="S95" s="20"/>
      <c r="T95" s="20"/>
      <c r="U95" s="20"/>
      <c r="V95" s="20"/>
      <c r="W95" s="20"/>
      <c r="X95" s="20"/>
      <c r="Y95" s="20"/>
      <c r="Z95" s="20"/>
      <c r="AA95" s="20"/>
    </row>
    <row r="96" spans="2:27" x14ac:dyDescent="0.2">
      <c r="B96" s="20"/>
      <c r="C96" s="20"/>
      <c r="D96" s="20"/>
      <c r="E96" s="20"/>
      <c r="F96" s="20"/>
      <c r="G96" s="20"/>
      <c r="H96" s="20"/>
      <c r="I96" s="20"/>
      <c r="J96" s="20"/>
      <c r="K96" s="20"/>
      <c r="Q96" s="20"/>
      <c r="R96" s="20"/>
      <c r="S96" s="20"/>
      <c r="T96" s="20"/>
      <c r="U96" s="20"/>
      <c r="V96" s="20"/>
      <c r="W96" s="20"/>
      <c r="X96" s="20"/>
      <c r="Y96" s="20"/>
      <c r="Z96" s="20"/>
      <c r="AA96" s="20"/>
    </row>
    <row r="97" spans="2:27" x14ac:dyDescent="0.2">
      <c r="B97" s="20"/>
      <c r="C97" s="20"/>
      <c r="D97" s="20"/>
      <c r="E97" s="20"/>
      <c r="F97" s="20"/>
      <c r="G97" s="20"/>
      <c r="H97" s="20"/>
      <c r="I97" s="20"/>
      <c r="J97" s="20"/>
      <c r="K97" s="20"/>
      <c r="Q97" s="20"/>
      <c r="R97" s="20"/>
      <c r="S97" s="20"/>
      <c r="T97" s="20"/>
      <c r="U97" s="20"/>
      <c r="V97" s="20"/>
      <c r="W97" s="20"/>
      <c r="X97" s="20"/>
      <c r="Y97" s="20"/>
      <c r="Z97" s="20"/>
      <c r="AA97" s="20"/>
    </row>
    <row r="98" spans="2:27" x14ac:dyDescent="0.2">
      <c r="B98" s="53"/>
      <c r="C98" s="20"/>
      <c r="D98" s="53"/>
      <c r="E98" s="20"/>
      <c r="F98" s="23"/>
      <c r="G98" s="20"/>
      <c r="H98" s="20"/>
      <c r="I98" s="53"/>
      <c r="J98" s="20"/>
      <c r="K98" s="20"/>
      <c r="Q98" s="20"/>
      <c r="R98" s="20"/>
      <c r="S98" s="20"/>
      <c r="T98" s="20"/>
      <c r="U98" s="20"/>
      <c r="V98" s="20"/>
      <c r="W98" s="20"/>
      <c r="X98" s="20"/>
      <c r="Y98" s="20"/>
      <c r="Z98" s="20"/>
      <c r="AA98" s="20"/>
    </row>
    <row r="99" spans="2:27" x14ac:dyDescent="0.2">
      <c r="B99" s="20"/>
      <c r="C99" s="20"/>
      <c r="D99" s="20"/>
      <c r="E99" s="20"/>
      <c r="F99" s="20"/>
      <c r="G99" s="20"/>
      <c r="H99" s="20"/>
      <c r="I99" s="20"/>
      <c r="J99" s="20"/>
      <c r="K99" s="20"/>
      <c r="Q99" s="20"/>
      <c r="R99" s="20"/>
      <c r="S99" s="20"/>
      <c r="T99" s="20"/>
      <c r="U99" s="20"/>
      <c r="V99" s="20"/>
      <c r="W99" s="20"/>
      <c r="X99" s="20"/>
      <c r="Y99" s="20"/>
      <c r="Z99" s="20"/>
      <c r="AA99" s="20"/>
    </row>
    <row r="100" spans="2:27" x14ac:dyDescent="0.2">
      <c r="B100" s="20"/>
      <c r="C100" s="20"/>
      <c r="D100" s="20"/>
      <c r="E100" s="20"/>
      <c r="F100" s="20"/>
      <c r="G100" s="20"/>
      <c r="H100" s="20"/>
      <c r="I100" s="20"/>
      <c r="J100" s="20"/>
      <c r="K100" s="20"/>
      <c r="Q100" s="20"/>
      <c r="R100" s="20"/>
      <c r="S100" s="20"/>
      <c r="T100" s="20"/>
      <c r="U100" s="20"/>
      <c r="V100" s="20"/>
      <c r="W100" s="20"/>
      <c r="X100" s="20"/>
      <c r="Y100" s="20"/>
      <c r="Z100" s="20"/>
      <c r="AA100" s="20"/>
    </row>
    <row r="101" spans="2:27" x14ac:dyDescent="0.2">
      <c r="B101" s="20"/>
      <c r="C101" s="20"/>
      <c r="D101" s="20"/>
      <c r="E101" s="20"/>
      <c r="F101" s="20"/>
      <c r="G101" s="20"/>
      <c r="H101" s="20"/>
      <c r="I101" s="20"/>
      <c r="J101" s="20"/>
      <c r="K101" s="20"/>
      <c r="Q101" s="20"/>
      <c r="R101" s="20"/>
      <c r="S101" s="20"/>
      <c r="T101" s="20"/>
      <c r="U101" s="20"/>
      <c r="V101" s="20"/>
      <c r="W101" s="20"/>
      <c r="X101" s="20"/>
      <c r="Y101" s="20"/>
      <c r="Z101" s="20"/>
      <c r="AA101" s="20"/>
    </row>
    <row r="102" spans="2:27" x14ac:dyDescent="0.2">
      <c r="B102" s="20"/>
      <c r="C102" s="20"/>
      <c r="D102" s="20"/>
      <c r="E102" s="20"/>
      <c r="F102" s="20"/>
      <c r="G102" s="20"/>
      <c r="H102" s="20"/>
      <c r="I102" s="20"/>
      <c r="J102" s="20"/>
      <c r="K102" s="20"/>
      <c r="Q102" s="20"/>
      <c r="R102" s="20"/>
      <c r="S102" s="20"/>
      <c r="T102" s="20"/>
      <c r="U102" s="20"/>
      <c r="V102" s="20"/>
      <c r="W102" s="20"/>
      <c r="X102" s="20"/>
      <c r="Y102" s="20"/>
      <c r="Z102" s="20"/>
      <c r="AA102" s="20"/>
    </row>
    <row r="103" spans="2:27" x14ac:dyDescent="0.2">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row>
    <row r="104" spans="2:27" x14ac:dyDescent="0.2">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row>
    <row r="105" spans="2:27" x14ac:dyDescent="0.2">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row>
    <row r="106" spans="2:27" x14ac:dyDescent="0.2">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row>
    <row r="107" spans="2:27" x14ac:dyDescent="0.2">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row>
    <row r="108" spans="2:27" x14ac:dyDescent="0.2">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row>
    <row r="109" spans="2:27" x14ac:dyDescent="0.2">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row>
    <row r="110" spans="2:27" x14ac:dyDescent="0.2">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row>
    <row r="111" spans="2:27" x14ac:dyDescent="0.2">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row>
    <row r="112" spans="2:27" x14ac:dyDescent="0.2">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row>
    <row r="113" spans="2:27" x14ac:dyDescent="0.2">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row>
    <row r="114" spans="2:27" x14ac:dyDescent="0.2">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row>
    <row r="115" spans="2:27" x14ac:dyDescent="0.2">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row>
    <row r="116" spans="2:27" x14ac:dyDescent="0.2">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row>
    <row r="117" spans="2:27" x14ac:dyDescent="0.2">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row>
    <row r="118" spans="2:27" x14ac:dyDescent="0.2">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row>
    <row r="119" spans="2:27" x14ac:dyDescent="0.2">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row>
    <row r="120" spans="2:27" x14ac:dyDescent="0.2">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row>
    <row r="121" spans="2:27" x14ac:dyDescent="0.2">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row>
    <row r="122" spans="2:27" x14ac:dyDescent="0.2">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row>
    <row r="123" spans="2:27" x14ac:dyDescent="0.2">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row>
    <row r="124" spans="2:27" x14ac:dyDescent="0.2">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row>
    <row r="125" spans="2:27" x14ac:dyDescent="0.2">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row>
    <row r="126" spans="2:27" x14ac:dyDescent="0.2">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row>
    <row r="127" spans="2:27" x14ac:dyDescent="0.2">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row>
    <row r="128" spans="2:27" x14ac:dyDescent="0.2">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row>
    <row r="129" spans="2:27" x14ac:dyDescent="0.2">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spans="2:27" x14ac:dyDescent="0.2">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spans="2:27" x14ac:dyDescent="0.2">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spans="2:27" x14ac:dyDescent="0.2">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row>
    <row r="133" spans="2:27" x14ac:dyDescent="0.2">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row>
    <row r="134" spans="2:27" x14ac:dyDescent="0.2">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row>
    <row r="135" spans="2:27" x14ac:dyDescent="0.2">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row>
    <row r="136" spans="2:27" x14ac:dyDescent="0.2">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row>
    <row r="137" spans="2:27" x14ac:dyDescent="0.2">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row>
    <row r="138" spans="2:27" x14ac:dyDescent="0.2">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row>
    <row r="139" spans="2:27" x14ac:dyDescent="0.2">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row>
    <row r="140" spans="2:27" x14ac:dyDescent="0.2">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row>
    <row r="141" spans="2:27" x14ac:dyDescent="0.2">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row>
    <row r="142" spans="2:27" x14ac:dyDescent="0.2">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row>
    <row r="143" spans="2:27" x14ac:dyDescent="0.2">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row>
    <row r="144" spans="2:27" x14ac:dyDescent="0.2">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row>
    <row r="145" spans="2:27" x14ac:dyDescent="0.2">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row>
    <row r="146" spans="2:27" x14ac:dyDescent="0.2">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row>
    <row r="147" spans="2:27" x14ac:dyDescent="0.2">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row>
    <row r="148" spans="2:27" x14ac:dyDescent="0.2">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row>
    <row r="149" spans="2:27" x14ac:dyDescent="0.2">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row>
    <row r="150" spans="2:27" x14ac:dyDescent="0.2">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row>
    <row r="151" spans="2:27" x14ac:dyDescent="0.2">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row>
    <row r="152" spans="2:27" x14ac:dyDescent="0.2">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row>
    <row r="153" spans="2:27" x14ac:dyDescent="0.2">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row>
    <row r="154" spans="2:27" x14ac:dyDescent="0.2">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row>
    <row r="155" spans="2:27" x14ac:dyDescent="0.2">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row>
    <row r="156" spans="2:27" x14ac:dyDescent="0.2">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row>
    <row r="157" spans="2:27" x14ac:dyDescent="0.2">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row>
    <row r="158" spans="2:27" x14ac:dyDescent="0.2">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row>
    <row r="159" spans="2:27" x14ac:dyDescent="0.2">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row>
    <row r="160" spans="2:27" x14ac:dyDescent="0.2">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row>
    <row r="161" spans="2:27" x14ac:dyDescent="0.2">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row>
    <row r="162" spans="2:27" x14ac:dyDescent="0.2">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row>
    <row r="163" spans="2:27" x14ac:dyDescent="0.2">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row>
    <row r="164" spans="2:27" x14ac:dyDescent="0.2">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row>
    <row r="165" spans="2:27" x14ac:dyDescent="0.2">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row>
    <row r="166" spans="2:27" x14ac:dyDescent="0.2">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row>
    <row r="167" spans="2:27" x14ac:dyDescent="0.2">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row>
    <row r="168" spans="2:27" x14ac:dyDescent="0.2">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row>
    <row r="169" spans="2:27" x14ac:dyDescent="0.2">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row>
    <row r="170" spans="2:27" x14ac:dyDescent="0.2">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row>
    <row r="171" spans="2:27" x14ac:dyDescent="0.2">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row>
    <row r="172" spans="2:27" x14ac:dyDescent="0.2">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row>
    <row r="173" spans="2:27" x14ac:dyDescent="0.2">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row>
    <row r="174" spans="2:27" x14ac:dyDescent="0.2">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row>
    <row r="175" spans="2:27" x14ac:dyDescent="0.2">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row>
    <row r="176" spans="2:27" x14ac:dyDescent="0.2">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row>
    <row r="177" spans="2:27" x14ac:dyDescent="0.2">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row>
    <row r="178" spans="2:27" x14ac:dyDescent="0.2">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row>
    <row r="179" spans="2:27" x14ac:dyDescent="0.2">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row>
    <row r="180" spans="2:27" x14ac:dyDescent="0.2">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row>
    <row r="181" spans="2:27" x14ac:dyDescent="0.2">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row>
    <row r="182" spans="2:27" x14ac:dyDescent="0.2">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row>
    <row r="183" spans="2:27" x14ac:dyDescent="0.2">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row>
    <row r="184" spans="2:27" x14ac:dyDescent="0.2">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row>
    <row r="185" spans="2:27" x14ac:dyDescent="0.2">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row>
    <row r="186" spans="2:27" x14ac:dyDescent="0.2">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row>
    <row r="187" spans="2:27" x14ac:dyDescent="0.2">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row>
    <row r="188" spans="2:27" x14ac:dyDescent="0.2">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row>
    <row r="189" spans="2:27" x14ac:dyDescent="0.2">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row>
    <row r="190" spans="2:27" x14ac:dyDescent="0.2">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row>
    <row r="191" spans="2:27" x14ac:dyDescent="0.2">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row>
    <row r="192" spans="2:27" x14ac:dyDescent="0.2">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row>
    <row r="193" spans="2:27" x14ac:dyDescent="0.2">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row>
    <row r="194" spans="2:27" x14ac:dyDescent="0.2">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row>
    <row r="195" spans="2:27" x14ac:dyDescent="0.2">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row>
    <row r="196" spans="2:27" x14ac:dyDescent="0.2">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row>
    <row r="197" spans="2:27" x14ac:dyDescent="0.2">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row>
    <row r="198" spans="2:27" x14ac:dyDescent="0.2">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row>
    <row r="199" spans="2:27" x14ac:dyDescent="0.2">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row>
    <row r="200" spans="2:27" x14ac:dyDescent="0.2">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row>
    <row r="201" spans="2:27" x14ac:dyDescent="0.2">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row>
    <row r="202" spans="2:27" x14ac:dyDescent="0.2">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row>
    <row r="203" spans="2:27" x14ac:dyDescent="0.2">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row>
    <row r="204" spans="2:27" x14ac:dyDescent="0.2">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row>
    <row r="205" spans="2:27" x14ac:dyDescent="0.2">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row>
    <row r="206" spans="2:27" x14ac:dyDescent="0.2">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row>
    <row r="207" spans="2:27" x14ac:dyDescent="0.2">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row>
    <row r="208" spans="2:27" x14ac:dyDescent="0.2">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row>
    <row r="209" spans="2:27" x14ac:dyDescent="0.2">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row>
    <row r="210" spans="2:27" x14ac:dyDescent="0.2">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row>
    <row r="211" spans="2:27" x14ac:dyDescent="0.2">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row>
    <row r="212" spans="2:27" x14ac:dyDescent="0.2">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row>
    <row r="213" spans="2:27" x14ac:dyDescent="0.2">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row>
    <row r="214" spans="2:27" x14ac:dyDescent="0.2">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row>
    <row r="215" spans="2:27" x14ac:dyDescent="0.2">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row>
    <row r="216" spans="2:27" x14ac:dyDescent="0.2">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row>
    <row r="217" spans="2:27" x14ac:dyDescent="0.2">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row>
    <row r="218" spans="2:27" x14ac:dyDescent="0.2">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row>
    <row r="219" spans="2:27" x14ac:dyDescent="0.2">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row>
    <row r="220" spans="2:27" x14ac:dyDescent="0.2">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row>
    <row r="221" spans="2:27" x14ac:dyDescent="0.2">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row>
    <row r="222" spans="2:27" x14ac:dyDescent="0.2">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row>
    <row r="223" spans="2:27" x14ac:dyDescent="0.2">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row>
    <row r="224" spans="2:27" x14ac:dyDescent="0.2">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row>
    <row r="225" spans="2:27" x14ac:dyDescent="0.2">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row>
    <row r="226" spans="2:27" x14ac:dyDescent="0.2">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row>
    <row r="227" spans="2:27" x14ac:dyDescent="0.2">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row>
    <row r="228" spans="2:27" x14ac:dyDescent="0.2">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row>
    <row r="229" spans="2:27" x14ac:dyDescent="0.2">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row>
    <row r="230" spans="2:27" x14ac:dyDescent="0.2">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row>
    <row r="231" spans="2:27" x14ac:dyDescent="0.2">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row>
    <row r="232" spans="2:27" x14ac:dyDescent="0.2">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row>
    <row r="233" spans="2:27" x14ac:dyDescent="0.2">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row>
    <row r="234" spans="2:27" x14ac:dyDescent="0.2">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row>
    <row r="235" spans="2:27" x14ac:dyDescent="0.2">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row>
    <row r="236" spans="2:27" x14ac:dyDescent="0.2">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row>
    <row r="237" spans="2:27" x14ac:dyDescent="0.2">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row>
    <row r="238" spans="2:27" x14ac:dyDescent="0.2">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row>
    <row r="239" spans="2:27" x14ac:dyDescent="0.2">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row>
    <row r="240" spans="2:27" x14ac:dyDescent="0.2">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row>
    <row r="241" spans="2:27" x14ac:dyDescent="0.2">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row>
    <row r="242" spans="2:27" x14ac:dyDescent="0.2">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row>
    <row r="243" spans="2:27" x14ac:dyDescent="0.2">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I14"/>
  <sheetViews>
    <sheetView workbookViewId="0">
      <selection activeCell="C10" sqref="C10"/>
    </sheetView>
  </sheetViews>
  <sheetFormatPr baseColWidth="10" defaultColWidth="9.1640625" defaultRowHeight="15" x14ac:dyDescent="0.2"/>
  <cols>
    <col min="1" max="1" width="2.1640625" style="20" customWidth="1"/>
    <col min="2" max="2" width="22.33203125" style="20" customWidth="1"/>
    <col min="3" max="3" width="32.1640625" style="20" customWidth="1"/>
    <col min="4" max="4" width="19.6640625" style="20" customWidth="1"/>
    <col min="5" max="16384" width="9.1640625" style="20"/>
  </cols>
  <sheetData>
    <row r="2" spans="2:9" x14ac:dyDescent="0.2">
      <c r="B2" s="13" t="s">
        <v>20</v>
      </c>
      <c r="C2" s="17" t="s">
        <v>8</v>
      </c>
      <c r="D2" s="17" t="s">
        <v>28</v>
      </c>
      <c r="E2" s="17"/>
      <c r="F2" s="18"/>
      <c r="H2" s="13" t="s">
        <v>25</v>
      </c>
      <c r="I2" s="1"/>
    </row>
    <row r="3" spans="2:9" x14ac:dyDescent="0.2">
      <c r="B3" s="3" t="s">
        <v>10</v>
      </c>
      <c r="C3" s="2">
        <f>26.4/11</f>
        <v>2.4</v>
      </c>
      <c r="D3" s="27">
        <v>1.2</v>
      </c>
      <c r="E3" s="2"/>
      <c r="F3" s="4"/>
      <c r="H3" s="3" t="s">
        <v>27</v>
      </c>
      <c r="I3" s="4"/>
    </row>
    <row r="4" spans="2:9" x14ac:dyDescent="0.2">
      <c r="B4" s="3" t="s">
        <v>11</v>
      </c>
      <c r="C4" s="2">
        <v>2.1</v>
      </c>
      <c r="D4" s="27">
        <v>1.2</v>
      </c>
      <c r="E4" s="2"/>
      <c r="F4" s="4"/>
      <c r="H4" s="5" t="s">
        <v>26</v>
      </c>
      <c r="I4" s="8"/>
    </row>
    <row r="5" spans="2:9" x14ac:dyDescent="0.2">
      <c r="B5" s="3" t="s">
        <v>45</v>
      </c>
      <c r="C5" s="2">
        <v>1.9</v>
      </c>
      <c r="D5" s="27">
        <v>1</v>
      </c>
      <c r="E5" s="2"/>
      <c r="F5" s="4"/>
      <c r="H5" s="2"/>
      <c r="I5" s="2"/>
    </row>
    <row r="6" spans="2:9" x14ac:dyDescent="0.2">
      <c r="B6" s="3" t="s">
        <v>12</v>
      </c>
      <c r="C6" s="2">
        <f>20.9/11</f>
        <v>1.9</v>
      </c>
      <c r="D6" s="27">
        <v>1</v>
      </c>
      <c r="E6" s="2"/>
      <c r="F6" s="4"/>
    </row>
    <row r="7" spans="2:9" x14ac:dyDescent="0.2">
      <c r="B7" s="3" t="s">
        <v>13</v>
      </c>
      <c r="C7" s="2">
        <v>1.4</v>
      </c>
      <c r="D7" s="27">
        <v>1</v>
      </c>
      <c r="E7" s="2"/>
      <c r="F7" s="4"/>
    </row>
    <row r="8" spans="2:9" x14ac:dyDescent="0.2">
      <c r="B8" s="3" t="s">
        <v>14</v>
      </c>
      <c r="C8" s="2">
        <f>26.4/11</f>
        <v>2.4</v>
      </c>
      <c r="D8" s="27">
        <v>1.2</v>
      </c>
      <c r="E8" s="2"/>
      <c r="F8" s="4"/>
    </row>
    <row r="9" spans="2:9" x14ac:dyDescent="0.2">
      <c r="B9" s="3" t="s">
        <v>15</v>
      </c>
      <c r="C9" s="2">
        <f>20.9/11</f>
        <v>1.9</v>
      </c>
      <c r="D9" s="27">
        <v>1.2</v>
      </c>
      <c r="E9" s="2"/>
      <c r="F9" s="4"/>
    </row>
    <row r="10" spans="2:9" x14ac:dyDescent="0.2">
      <c r="B10" s="3" t="s">
        <v>16</v>
      </c>
      <c r="C10" s="2">
        <f>12.1/11</f>
        <v>1.0999999999999999</v>
      </c>
      <c r="D10" s="27">
        <v>1</v>
      </c>
      <c r="E10" s="2"/>
      <c r="F10" s="4"/>
    </row>
    <row r="11" spans="2:9" x14ac:dyDescent="0.2">
      <c r="B11" s="3"/>
      <c r="C11" s="2"/>
      <c r="D11" s="2"/>
      <c r="E11" s="2"/>
      <c r="F11" s="4"/>
    </row>
    <row r="12" spans="2:9" x14ac:dyDescent="0.2">
      <c r="B12" s="3"/>
      <c r="C12" s="2"/>
      <c r="D12" s="2"/>
      <c r="E12" s="2"/>
      <c r="F12" s="4"/>
    </row>
    <row r="13" spans="2:9" x14ac:dyDescent="0.2">
      <c r="B13" s="16" t="s">
        <v>17</v>
      </c>
      <c r="C13" s="15">
        <f>VLOOKUP(Input!G19,B3:C10,2,FALSE)</f>
        <v>2.4</v>
      </c>
      <c r="D13" s="15">
        <f>VLOOKUP(Input!G19,B3:D10,3,FALSE)</f>
        <v>1.2</v>
      </c>
      <c r="E13" s="2"/>
      <c r="F13" s="4"/>
    </row>
    <row r="14" spans="2:9" x14ac:dyDescent="0.2">
      <c r="B14" s="5"/>
      <c r="C14" s="7"/>
      <c r="D14" s="7"/>
      <c r="E14" s="7"/>
      <c r="F14" s="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32"/>
  <sheetViews>
    <sheetView zoomScale="81" zoomScaleNormal="75" workbookViewId="0">
      <selection activeCell="A3" sqref="A3"/>
    </sheetView>
  </sheetViews>
  <sheetFormatPr baseColWidth="10" defaultColWidth="9.1640625" defaultRowHeight="15" x14ac:dyDescent="0.2"/>
  <cols>
    <col min="1" max="1" width="255.6640625" style="20" customWidth="1"/>
    <col min="2" max="16384" width="9.1640625" style="20"/>
  </cols>
  <sheetData>
    <row r="1" spans="1:1" ht="16" x14ac:dyDescent="0.2">
      <c r="A1" s="76"/>
    </row>
    <row r="2" spans="1:1" ht="16" x14ac:dyDescent="0.2">
      <c r="A2" s="76"/>
    </row>
    <row r="3" spans="1:1" ht="16" x14ac:dyDescent="0.2">
      <c r="A3" s="76"/>
    </row>
    <row r="4" spans="1:1" ht="16" x14ac:dyDescent="0.2">
      <c r="A4" s="76"/>
    </row>
    <row r="5" spans="1:1" ht="16" x14ac:dyDescent="0.2">
      <c r="A5" s="76"/>
    </row>
    <row r="6" spans="1:1" ht="16" x14ac:dyDescent="0.2">
      <c r="A6" s="76"/>
    </row>
    <row r="7" spans="1:1" ht="16" x14ac:dyDescent="0.2">
      <c r="A7" s="76"/>
    </row>
    <row r="8" spans="1:1" ht="16" x14ac:dyDescent="0.2">
      <c r="A8" s="76"/>
    </row>
    <row r="9" spans="1:1" ht="16" x14ac:dyDescent="0.2">
      <c r="A9" s="76"/>
    </row>
    <row r="10" spans="1:1" ht="16" x14ac:dyDescent="0.2">
      <c r="A10" s="76"/>
    </row>
    <row r="11" spans="1:1" ht="16" x14ac:dyDescent="0.2">
      <c r="A11" s="76"/>
    </row>
    <row r="12" spans="1:1" ht="16" x14ac:dyDescent="0.2">
      <c r="A12" s="76"/>
    </row>
    <row r="13" spans="1:1" ht="16" x14ac:dyDescent="0.2">
      <c r="A13" s="76"/>
    </row>
    <row r="14" spans="1:1" ht="16" x14ac:dyDescent="0.2">
      <c r="A14" s="76"/>
    </row>
    <row r="15" spans="1:1" ht="16" x14ac:dyDescent="0.2">
      <c r="A15" s="76"/>
    </row>
    <row r="16" spans="1:1" ht="16" x14ac:dyDescent="0.2">
      <c r="A16" s="76"/>
    </row>
    <row r="17" spans="1:1" ht="17" x14ac:dyDescent="0.25">
      <c r="A17" s="77" t="s">
        <v>61</v>
      </c>
    </row>
    <row r="18" spans="1:1" ht="270" x14ac:dyDescent="0.25">
      <c r="A18" s="78" t="s">
        <v>64</v>
      </c>
    </row>
    <row r="27" spans="1:1" ht="18" x14ac:dyDescent="0.25">
      <c r="A27" s="74" t="s">
        <v>22</v>
      </c>
    </row>
    <row r="28" spans="1:1" ht="18" x14ac:dyDescent="0.25">
      <c r="A28" s="75" t="s">
        <v>52</v>
      </c>
    </row>
    <row r="29" spans="1:1" ht="18" x14ac:dyDescent="0.25">
      <c r="A29" s="75" t="s">
        <v>62</v>
      </c>
    </row>
    <row r="30" spans="1:1" ht="18" x14ac:dyDescent="0.25">
      <c r="A30" s="75" t="s">
        <v>60</v>
      </c>
    </row>
    <row r="31" spans="1:1" ht="18" x14ac:dyDescent="0.25">
      <c r="A31" s="75" t="s">
        <v>63</v>
      </c>
    </row>
    <row r="32" spans="1:1" ht="16" x14ac:dyDescent="0.2">
      <c r="A32" s="7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Input</vt:lpstr>
      <vt:lpstr>Calculations</vt:lpstr>
      <vt:lpstr>Electrode arrays</vt:lpstr>
      <vt:lpstr>Reference</vt:lpstr>
      <vt:lpstr>A</vt:lpstr>
      <vt:lpstr>Arrays</vt:lpstr>
      <vt:lpstr>F_T</vt:lpstr>
      <vt:lpstr>k</vt:lpstr>
      <vt:lpstr>Surgical_approach</vt:lpstr>
      <vt:lpstr>x_1</vt:lpstr>
      <vt:lpstr>x_2</vt:lpstr>
      <vt:lpstr>y_1</vt:lpstr>
      <vt:lpstr>y_2</vt:lpstr>
    </vt:vector>
  </TitlesOfParts>
  <Company>MED-EL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Römgens</dc:creator>
  <cp:lastModifiedBy>Microsoft Office User</cp:lastModifiedBy>
  <dcterms:created xsi:type="dcterms:W3CDTF">2016-09-08T08:55:30Z</dcterms:created>
  <dcterms:modified xsi:type="dcterms:W3CDTF">2023-01-17T13:22:19Z</dcterms:modified>
</cp:coreProperties>
</file>